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ETRIC" sheetId="1" r:id="rId1"/>
    <sheet name="IMPERIAL" sheetId="2" r:id="rId2"/>
    <sheet name="RUDDER TORQUES" sheetId="3" r:id="rId3"/>
  </sheets>
  <definedNames>
    <definedName name="_xlnm.Print_Area" localSheetId="1">'IMPERIAL'!$B$1:$I$82</definedName>
    <definedName name="_xlnm.Print_Area" localSheetId="0">'METRIC'!$B$3:$I$66</definedName>
    <definedName name="_xlnm.Print_Area" localSheetId="2">'RUDDER TORQUES'!$A$1:$I$55</definedName>
    <definedName name="AREA">#REF!</definedName>
    <definedName name="DENSITY">#REF!</definedName>
    <definedName name="DIA1">#REF!</definedName>
    <definedName name="DIA2">#REF!</definedName>
    <definedName name="DIA3">#REF!</definedName>
    <definedName name="DIA4">#REF!</definedName>
    <definedName name="h">#REF!</definedName>
    <definedName name="ha">#REF!</definedName>
    <definedName name="hb">#REF!</definedName>
    <definedName name="hc">#REF!</definedName>
    <definedName name="lc">#REF!</definedName>
    <definedName name="LLL">#REF!</definedName>
    <definedName name="MIN_DIA">#REF!</definedName>
    <definedName name="Mn">#REF!</definedName>
    <definedName name="N">#REF!</definedName>
    <definedName name="P">#REF!</definedName>
    <definedName name="R_C">#REF!</definedName>
    <definedName name="R_N">#REF!</definedName>
    <definedName name="STRENGTH">#REF!</definedName>
    <definedName name="Tn">#REF!</definedName>
    <definedName name="U">#REF!</definedName>
    <definedName name="XL">#REF!</definedName>
    <definedName name="Y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19" authorId="0">
      <text>
        <r>
          <rPr>
            <b/>
            <sz val="8"/>
            <color indexed="8"/>
            <rFont val="Times New Roman"/>
            <family val="1"/>
          </rPr>
          <t>D/L Ratio:
Useful for determing type of yacht:
ULDB :       80-150
Light Racing Yachts : 150-200
Light Cruisers : 200-275
Medium  Cruisers :  275-325
Heavy Cruisers : 325-400</t>
        </r>
      </text>
    </comment>
    <comment ref="B23" authorId="0">
      <text>
        <r>
          <rPr>
            <b/>
            <sz val="8"/>
            <color indexed="8"/>
            <rFont val="Times New Roman"/>
            <family val="1"/>
          </rPr>
          <t xml:space="preserve">Balance:
</t>
        </r>
        <r>
          <rPr>
            <sz val="8"/>
            <color indexed="8"/>
            <rFont val="Times New Roman"/>
            <family val="1"/>
          </rPr>
          <t>AVG.F&amp;A DIM.RUD. BLADE FWD OF POST C.L.</t>
        </r>
      </text>
    </comment>
    <comment ref="B31" authorId="0">
      <text>
        <r>
          <rPr>
            <b/>
            <sz val="8"/>
            <color indexed="8"/>
            <rFont val="Times New Roman"/>
            <family val="1"/>
          </rPr>
          <t xml:space="preserve">STD Chain Pitches:
5/8" = 15.875mm
3/4" = 19.050mm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17" authorId="0">
      <text>
        <r>
          <rPr>
            <b/>
            <sz val="8"/>
            <color indexed="8"/>
            <rFont val="Times New Roman"/>
            <family val="1"/>
          </rPr>
          <t>D/L Ratio:
Useful for determing type of yacht:
ULDB :       80-150
Light Racing Yachts : 150-200
Light Cruisers/Ocean Racers : 200-275
Medium  Cruisers :  275-325
Heavy Cruisers : 325-400</t>
        </r>
      </text>
    </comment>
    <comment ref="B21" authorId="0">
      <text>
        <r>
          <rPr>
            <b/>
            <sz val="8"/>
            <color indexed="8"/>
            <rFont val="Times New Roman"/>
            <family val="1"/>
          </rPr>
          <t xml:space="preserve">Balance:
</t>
        </r>
        <r>
          <rPr>
            <sz val="8"/>
            <color indexed="8"/>
            <rFont val="Times New Roman"/>
            <family val="1"/>
          </rPr>
          <t>AVG.F&amp;A DIM.RUD. BLADE FWD OF POST C.L.</t>
        </r>
      </text>
    </comment>
    <comment ref="B29" authorId="0">
      <text>
        <r>
          <rPr>
            <b/>
            <sz val="8"/>
            <color indexed="8"/>
            <rFont val="Times New Roman"/>
            <family val="1"/>
          </rPr>
          <t xml:space="preserve">STD Chain Pitches:
5/8" = 0.625"
3/4" = 0.75"
</t>
        </r>
      </text>
    </comment>
    <comment ref="B54" authorId="0">
      <text>
        <r>
          <rPr>
            <b/>
            <sz val="8"/>
            <color indexed="8"/>
            <rFont val="Times New Roman"/>
            <family val="1"/>
          </rPr>
          <t xml:space="preserve">Mamba Gearboxes:
</t>
        </r>
        <r>
          <rPr>
            <sz val="8"/>
            <color indexed="8"/>
            <rFont val="Times New Roman"/>
            <family val="1"/>
          </rPr>
          <t>WRG 10: 4:1
WRG11/BG12: 5:1
BG30: 6.7:1
WRG12: 7:1
WRG18: 10:1
WRG20: 12.6:1
WRG45/WG08: 13:1
WG16: 25:1
WRG90: 65:1</t>
        </r>
      </text>
    </comment>
    <comment ref="B56" authorId="0">
      <text>
        <r>
          <rPr>
            <sz val="8"/>
            <color indexed="8"/>
            <rFont val="Times New Roman"/>
            <family val="1"/>
          </rPr>
          <t xml:space="preserve">TILLER LEVERS
TL110: 8" 80mm Max Bore
TL120: 8" 100mm Max Bore
TL130: 8" 125mm Max Bore
TL230: 11.25" 125MM Max Bore
</t>
        </r>
      </text>
    </comment>
  </commentList>
</comments>
</file>

<file path=xl/sharedStrings.xml><?xml version="1.0" encoding="utf-8"?>
<sst xmlns="http://schemas.openxmlformats.org/spreadsheetml/2006/main" count="486" uniqueCount="255">
  <si>
    <t>V3.1-M</t>
  </si>
  <si>
    <t>WHITLOCK ANALYSE FÜR STEUERUNGSSYSTEME</t>
  </si>
  <si>
    <t>FÜR:</t>
  </si>
  <si>
    <t>TYP:</t>
  </si>
  <si>
    <t>Yachttyp / Kalkulations- ID</t>
  </si>
  <si>
    <t>DATUM:</t>
  </si>
  <si>
    <t>SCHIFFSDATEN</t>
  </si>
  <si>
    <t>METRISCH</t>
  </si>
  <si>
    <t>IMPERIAL</t>
  </si>
  <si>
    <t>Länge über Alles</t>
  </si>
  <si>
    <t>LOA</t>
  </si>
  <si>
    <t>m</t>
  </si>
  <si>
    <t>ft.</t>
  </si>
  <si>
    <t>Länge Wasserlinie</t>
  </si>
  <si>
    <t>LWL</t>
  </si>
  <si>
    <t>Verdrängung</t>
  </si>
  <si>
    <t>Displ</t>
  </si>
  <si>
    <t>kg</t>
  </si>
  <si>
    <t>lb.</t>
  </si>
  <si>
    <t>Verhältnis Verdr./Länge</t>
  </si>
  <si>
    <t>D/L</t>
  </si>
  <si>
    <t>Mittlere Ruderhöhe</t>
  </si>
  <si>
    <t>Rh</t>
  </si>
  <si>
    <t>Mittlere Ruderbreite</t>
  </si>
  <si>
    <t>Rc</t>
  </si>
  <si>
    <t>Ruderfläche</t>
  </si>
  <si>
    <t>Ra</t>
  </si>
  <si>
    <t>qm</t>
  </si>
  <si>
    <t>sq.ft.</t>
  </si>
  <si>
    <t>Balanceanteil</t>
  </si>
  <si>
    <t>Theor. Rumpfgeschw.</t>
  </si>
  <si>
    <t>V</t>
  </si>
  <si>
    <t>Knoten</t>
  </si>
  <si>
    <t>kts</t>
  </si>
  <si>
    <t>Max. Ruderbelast. bei 36°</t>
  </si>
  <si>
    <t>L</t>
  </si>
  <si>
    <t>Nm</t>
  </si>
  <si>
    <t>lbf.ft.</t>
  </si>
  <si>
    <t>CONSTELLATION  SYSTEM</t>
  </si>
  <si>
    <t>SYSTEMDATEN</t>
  </si>
  <si>
    <t>OPTION 1</t>
  </si>
  <si>
    <t>OPTION 2</t>
  </si>
  <si>
    <t>OPTION 3</t>
  </si>
  <si>
    <t>Steuerraddurchmesser</t>
  </si>
  <si>
    <t>mm</t>
  </si>
  <si>
    <t>Kettenstärke</t>
  </si>
  <si>
    <t>Zähnezahl</t>
  </si>
  <si>
    <t>Quadrant Radius</t>
  </si>
  <si>
    <t>Drahtbelastung</t>
  </si>
  <si>
    <t>N</t>
  </si>
  <si>
    <t>Max. Last auf dem St'rad Aussenring</t>
  </si>
  <si>
    <t>Rad- Umdrehungen Hart nach Hart</t>
  </si>
  <si>
    <t>COBRA  SYSTEM</t>
  </si>
  <si>
    <t>Hebel des Schubarms</t>
  </si>
  <si>
    <t>Hebel des Ruderarms</t>
  </si>
  <si>
    <t>W.A. Geometry Adv.</t>
  </si>
  <si>
    <t>Getriebeuntersetzung</t>
  </si>
  <si>
    <t>:1</t>
  </si>
  <si>
    <t>Max. Ruderausschlag pro Seite</t>
  </si>
  <si>
    <t>degrees</t>
  </si>
  <si>
    <t>MAMBA SYSTEM</t>
  </si>
  <si>
    <t>Vorgeschlagenes Reduktionsgetriebe</t>
  </si>
  <si>
    <t>Reduzierverhältnis</t>
  </si>
  <si>
    <t>USED IN COBRA CALCS</t>
  </si>
  <si>
    <t>OUTPUT LEVER "L"</t>
  </si>
  <si>
    <t>EFFECTIVE OPL</t>
  </si>
  <si>
    <t>TRAVEL</t>
  </si>
  <si>
    <t>TILLER LEVER</t>
  </si>
  <si>
    <t>EFFECTIVE TL</t>
  </si>
  <si>
    <t>USED IN MAMBA CALCS</t>
  </si>
  <si>
    <t>V3.1-I</t>
  </si>
  <si>
    <t>Crescent House, Latimer Road, Luton. Bedfordshire LU1 3UZ</t>
  </si>
  <si>
    <t>WHITLOCK STEERING SYSTEM ANALYSIS</t>
  </si>
  <si>
    <t xml:space="preserve">FOR: </t>
  </si>
  <si>
    <t>Whitlock Marine Steering Co. Ltd.</t>
  </si>
  <si>
    <t xml:space="preserve">TYPE: </t>
  </si>
  <si>
    <t>Imperial File Template</t>
  </si>
  <si>
    <t xml:space="preserve">DATE: </t>
  </si>
  <si>
    <t>VESSEL DATA</t>
  </si>
  <si>
    <t>METRIC</t>
  </si>
  <si>
    <t xml:space="preserve">Overall Length </t>
  </si>
  <si>
    <t>m.</t>
  </si>
  <si>
    <t>Waterline Length</t>
  </si>
  <si>
    <t>Displacement</t>
  </si>
  <si>
    <t>kg.</t>
  </si>
  <si>
    <t>Displacement/Length Ratio</t>
  </si>
  <si>
    <t>Rudder Height (Average)</t>
  </si>
  <si>
    <t>Average Rudder Chord</t>
  </si>
  <si>
    <t>Rudder Area</t>
  </si>
  <si>
    <t>sq.m</t>
  </si>
  <si>
    <t>Balance</t>
  </si>
  <si>
    <t>Designed Hull Speed</t>
  </si>
  <si>
    <t>Max Rudder Torque @ 36 Deg</t>
  </si>
  <si>
    <t>lbf.ft</t>
  </si>
  <si>
    <t>SYSTEM DATA</t>
  </si>
  <si>
    <t>WHEEL DIAMETER</t>
  </si>
  <si>
    <t>in.</t>
  </si>
  <si>
    <t>CHAIN PITCH</t>
  </si>
  <si>
    <t>TOOTH COUNT</t>
  </si>
  <si>
    <t>QUAD. RADIUS</t>
  </si>
  <si>
    <t>CABLE LOAD</t>
  </si>
  <si>
    <t>lb</t>
  </si>
  <si>
    <t>MAX LOAD ON WHEEL RIM</t>
  </si>
  <si>
    <t>TURNS LOCK TO LOCK</t>
  </si>
  <si>
    <t>TILLER LEVER "L"</t>
  </si>
  <si>
    <t>W.A.GEOM.ADV.</t>
  </si>
  <si>
    <t>GEAR REDUCTION</t>
  </si>
  <si>
    <t>RUDDER ANGLE</t>
  </si>
  <si>
    <t>W.A.G. RIM LOAD</t>
  </si>
  <si>
    <t>SUGGESTED GEARBOX</t>
  </si>
  <si>
    <t>A GUIDELINE TO MAXIMUM RUDDER TORQUES</t>
  </si>
  <si>
    <t xml:space="preserve"> FOR </t>
  </si>
  <si>
    <t>WHITLOCK STEERING SYSTEMS</t>
  </si>
  <si>
    <t>CONSTELLATION SYSTEMS</t>
  </si>
  <si>
    <t>SIZE &amp; QUADRANT TYPE</t>
  </si>
  <si>
    <t>PART No.</t>
  </si>
  <si>
    <t>TYPICAL BOAT RANGE</t>
  </si>
  <si>
    <t>MAXIMUM RUDDER TORQUE</t>
  </si>
  <si>
    <t>kgf.m</t>
  </si>
  <si>
    <t>6"</t>
  </si>
  <si>
    <t>260 deg.</t>
  </si>
  <si>
    <t>XR06</t>
  </si>
  <si>
    <t>-32'</t>
  </si>
  <si>
    <t>-9.75m</t>
  </si>
  <si>
    <t>8"</t>
  </si>
  <si>
    <t>XR08</t>
  </si>
  <si>
    <t>30-38'</t>
  </si>
  <si>
    <t>9.14-11.58m</t>
  </si>
  <si>
    <t>10"</t>
  </si>
  <si>
    <t>XR10</t>
  </si>
  <si>
    <t>35-42'</t>
  </si>
  <si>
    <t>10.67-12.8m</t>
  </si>
  <si>
    <t>12"</t>
  </si>
  <si>
    <t>XR12</t>
  </si>
  <si>
    <t>40-50'</t>
  </si>
  <si>
    <t>12.2-15.24m</t>
  </si>
  <si>
    <t>15"</t>
  </si>
  <si>
    <t>XR15</t>
  </si>
  <si>
    <t>45-60'</t>
  </si>
  <si>
    <t>13.76-18.29m</t>
  </si>
  <si>
    <t>18"</t>
  </si>
  <si>
    <t>XR18</t>
  </si>
  <si>
    <t>55-85'</t>
  </si>
  <si>
    <t>16.76-25.91m</t>
  </si>
  <si>
    <t>250mm</t>
  </si>
  <si>
    <t>360 deg</t>
  </si>
  <si>
    <t>350mm</t>
  </si>
  <si>
    <t>90 deg</t>
  </si>
  <si>
    <t>400mm</t>
  </si>
  <si>
    <t>180 deg</t>
  </si>
  <si>
    <t>460mm</t>
  </si>
  <si>
    <t>160 deg</t>
  </si>
  <si>
    <t>7.5"</t>
  </si>
  <si>
    <t>80 deg</t>
  </si>
  <si>
    <t>XS75</t>
  </si>
  <si>
    <t>9"</t>
  </si>
  <si>
    <t>XS9</t>
  </si>
  <si>
    <t>30-37'</t>
  </si>
  <si>
    <t>9.14-11.28m</t>
  </si>
  <si>
    <t>XS12</t>
  </si>
  <si>
    <t>36-42'</t>
  </si>
  <si>
    <t>10.97-12.8m</t>
  </si>
  <si>
    <t>XS15</t>
  </si>
  <si>
    <t>40-48'</t>
  </si>
  <si>
    <t>12.2-14.63m</t>
  </si>
  <si>
    <t>XS18</t>
  </si>
  <si>
    <t>45-52'</t>
  </si>
  <si>
    <t>13.76-15.85m</t>
  </si>
  <si>
    <t>20"</t>
  </si>
  <si>
    <t>XS20</t>
  </si>
  <si>
    <t>50-62'</t>
  </si>
  <si>
    <t>15.24-18.9m</t>
  </si>
  <si>
    <t>24"</t>
  </si>
  <si>
    <t>XS24</t>
  </si>
  <si>
    <t>60-80'</t>
  </si>
  <si>
    <t>18.29-24.38m</t>
  </si>
  <si>
    <t>XS30</t>
  </si>
  <si>
    <t>80'+</t>
  </si>
  <si>
    <t>24.38m +</t>
  </si>
  <si>
    <t>COBRA SYSTEMS</t>
  </si>
  <si>
    <t>SYSTEM</t>
  </si>
  <si>
    <t>TURNS HO-HO</t>
  </si>
  <si>
    <t>GEAR RATIO</t>
  </si>
  <si>
    <t>CRUSING</t>
  </si>
  <si>
    <t>5:1</t>
  </si>
  <si>
    <t>-45'</t>
  </si>
  <si>
    <t>-13.7m</t>
  </si>
  <si>
    <t>RACING</t>
  </si>
  <si>
    <t>4:1</t>
  </si>
  <si>
    <t>max 55'</t>
  </si>
  <si>
    <t>max 16.75m</t>
  </si>
  <si>
    <t>OCEAN</t>
  </si>
  <si>
    <t>6.7:1</t>
  </si>
  <si>
    <t>max 60'</t>
  </si>
  <si>
    <t>max 18.3m</t>
  </si>
  <si>
    <t>MAMBA SYSTEMS</t>
  </si>
  <si>
    <t>GEARBOX</t>
  </si>
  <si>
    <t>WRG10</t>
  </si>
  <si>
    <t>GB0500</t>
  </si>
  <si>
    <t>-40'</t>
  </si>
  <si>
    <t>-12.2m</t>
  </si>
  <si>
    <t>WRG11</t>
  </si>
  <si>
    <t>GB1500</t>
  </si>
  <si>
    <t>38-45'</t>
  </si>
  <si>
    <t>11.58-13.72m</t>
  </si>
  <si>
    <t>WRG12</t>
  </si>
  <si>
    <t>7:1</t>
  </si>
  <si>
    <t>GB0600 /1</t>
  </si>
  <si>
    <t>43-65'</t>
  </si>
  <si>
    <t>13.11-19.81m</t>
  </si>
  <si>
    <t>WRG18</t>
  </si>
  <si>
    <t>10:1</t>
  </si>
  <si>
    <t>GB0800 /1</t>
  </si>
  <si>
    <t>60-90'</t>
  </si>
  <si>
    <t>18.3-27.43m</t>
  </si>
  <si>
    <t>WRG20</t>
  </si>
  <si>
    <t>12.6:1</t>
  </si>
  <si>
    <t>GB0850 /1</t>
  </si>
  <si>
    <t>80-110'</t>
  </si>
  <si>
    <t>24.38-33.53m</t>
  </si>
  <si>
    <t>WRG45</t>
  </si>
  <si>
    <t>13:1</t>
  </si>
  <si>
    <t>GB0900 /1</t>
  </si>
  <si>
    <t>90-115'</t>
  </si>
  <si>
    <t>27.43-35.05m</t>
  </si>
  <si>
    <t>WRG90</t>
  </si>
  <si>
    <t>65:1</t>
  </si>
  <si>
    <t>GB0950 /1</t>
  </si>
  <si>
    <t>120-200'</t>
  </si>
  <si>
    <t>36.6-60.96m</t>
  </si>
  <si>
    <t>BG12</t>
  </si>
  <si>
    <t>BG1000 /1</t>
  </si>
  <si>
    <t>BG30</t>
  </si>
  <si>
    <t>GB3000 /1</t>
  </si>
  <si>
    <t>13.72-18.3m</t>
  </si>
  <si>
    <t>WG08</t>
  </si>
  <si>
    <t>GB0100 /1</t>
  </si>
  <si>
    <t>WG16</t>
  </si>
  <si>
    <t>25:1</t>
  </si>
  <si>
    <t>GB1100 /1</t>
  </si>
  <si>
    <t>45-65'</t>
  </si>
  <si>
    <t>13.72-19.82m</t>
  </si>
  <si>
    <t>BH10</t>
  </si>
  <si>
    <t>1:1</t>
  </si>
  <si>
    <t>BH1000</t>
  </si>
  <si>
    <t>35-60'</t>
  </si>
  <si>
    <t>10.67-18.3m</t>
  </si>
  <si>
    <t>BH130</t>
  </si>
  <si>
    <t>BH2500</t>
  </si>
  <si>
    <t>60-100'</t>
  </si>
  <si>
    <t>18.3-30.48m</t>
  </si>
  <si>
    <t>BH150</t>
  </si>
  <si>
    <t>BH5000</t>
  </si>
  <si>
    <t>80-200'</t>
  </si>
  <si>
    <t>24.38-60.96m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</si>
</sst>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"/>
    <numFmt numFmtId="166" formatCode="D\-MMM\-YYYY"/>
    <numFmt numFmtId="167" formatCode="0.00"/>
    <numFmt numFmtId="168" formatCode="0"/>
    <numFmt numFmtId="169" formatCode="#,##0.000"/>
    <numFmt numFmtId="170" formatCode="0.000"/>
    <numFmt numFmtId="171" formatCode="0.0"/>
    <numFmt numFmtId="172" formatCode="#,##0"/>
    <numFmt numFmtId="173" formatCode="H:MM"/>
  </numFmts>
  <fonts count="16">
    <font>
      <sz val="10"/>
      <name val="Arial"/>
      <family val="0"/>
    </font>
    <font>
      <b/>
      <sz val="20"/>
      <color indexed="18"/>
      <name val="Bell MT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3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0" fillId="0" borderId="0" xfId="0" applyNumberFormat="1" applyAlignment="1">
      <alignment vertical="center"/>
    </xf>
    <xf numFmtId="165" fontId="0" fillId="0" borderId="0" xfId="0" applyNumberFormat="1" applyFont="1" applyAlignment="1">
      <alignment horizontal="right" vertical="center"/>
    </xf>
    <xf numFmtId="165" fontId="2" fillId="0" borderId="2" xfId="0" applyNumberFormat="1" applyFont="1" applyBorder="1" applyAlignment="1">
      <alignment vertical="center"/>
    </xf>
    <xf numFmtId="165" fontId="2" fillId="0" borderId="2" xfId="0" applyNumberFormat="1" applyFont="1" applyBorder="1" applyAlignment="1">
      <alignment horizontal="center" vertical="center"/>
    </xf>
    <xf numFmtId="165" fontId="0" fillId="0" borderId="3" xfId="0" applyNumberFormat="1" applyBorder="1" applyAlignment="1">
      <alignment vertical="center"/>
    </xf>
    <xf numFmtId="165" fontId="0" fillId="0" borderId="2" xfId="0" applyNumberFormat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165" fontId="2" fillId="0" borderId="4" xfId="0" applyNumberFormat="1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164" fontId="2" fillId="0" borderId="5" xfId="0" applyFont="1" applyBorder="1" applyAlignment="1">
      <alignment vertical="center"/>
    </xf>
    <xf numFmtId="164" fontId="0" fillId="0" borderId="6" xfId="0" applyFont="1" applyBorder="1" applyAlignment="1">
      <alignment horizontal="center" vertical="center"/>
    </xf>
    <xf numFmtId="164" fontId="0" fillId="0" borderId="0" xfId="0" applyBorder="1" applyAlignment="1">
      <alignment vertical="center"/>
    </xf>
    <xf numFmtId="167" fontId="4" fillId="3" borderId="5" xfId="0" applyNumberFormat="1" applyFont="1" applyFill="1" applyBorder="1" applyAlignment="1">
      <alignment horizontal="center" vertical="center"/>
    </xf>
    <xf numFmtId="164" fontId="0" fillId="0" borderId="6" xfId="0" applyFont="1" applyFill="1" applyBorder="1" applyAlignment="1">
      <alignment vertical="center"/>
    </xf>
    <xf numFmtId="167" fontId="4" fillId="2" borderId="5" xfId="0" applyNumberFormat="1" applyFont="1" applyFill="1" applyBorder="1" applyAlignment="1" applyProtection="1">
      <alignment horizontal="center" vertical="center"/>
      <protection locked="0"/>
    </xf>
    <xf numFmtId="164" fontId="4" fillId="2" borderId="6" xfId="0" applyFont="1" applyFill="1" applyBorder="1" applyAlignment="1">
      <alignment vertical="center"/>
    </xf>
    <xf numFmtId="168" fontId="4" fillId="3" borderId="5" xfId="0" applyNumberFormat="1" applyFont="1" applyFill="1" applyBorder="1" applyAlignment="1">
      <alignment horizontal="center" vertical="center"/>
    </xf>
    <xf numFmtId="168" fontId="4" fillId="2" borderId="5" xfId="0" applyNumberFormat="1" applyFont="1" applyFill="1" applyBorder="1" applyAlignment="1" applyProtection="1">
      <alignment horizontal="center" vertical="center"/>
      <protection locked="0"/>
    </xf>
    <xf numFmtId="168" fontId="0" fillId="0" borderId="5" xfId="0" applyNumberFormat="1" applyFill="1" applyBorder="1" applyAlignment="1">
      <alignment horizontal="center" vertical="center"/>
    </xf>
    <xf numFmtId="164" fontId="0" fillId="0" borderId="0" xfId="0" applyFont="1" applyFill="1" applyBorder="1" applyAlignment="1">
      <alignment vertical="center"/>
    </xf>
    <xf numFmtId="165" fontId="2" fillId="0" borderId="5" xfId="0" applyNumberFormat="1" applyFont="1" applyBorder="1" applyAlignment="1">
      <alignment vertical="center"/>
    </xf>
    <xf numFmtId="165" fontId="0" fillId="0" borderId="6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vertical="center"/>
    </xf>
    <xf numFmtId="169" fontId="4" fillId="3" borderId="5" xfId="0" applyNumberFormat="1" applyFont="1" applyFill="1" applyBorder="1" applyAlignment="1">
      <alignment horizontal="center" vertical="center"/>
    </xf>
    <xf numFmtId="169" fontId="0" fillId="0" borderId="5" xfId="0" applyNumberFormat="1" applyFill="1" applyBorder="1" applyAlignment="1">
      <alignment horizontal="center" vertical="center"/>
    </xf>
    <xf numFmtId="164" fontId="0" fillId="0" borderId="6" xfId="0" applyFont="1" applyFill="1" applyBorder="1" applyAlignment="1">
      <alignment/>
    </xf>
    <xf numFmtId="164" fontId="0" fillId="0" borderId="0" xfId="0" applyBorder="1" applyAlignment="1">
      <alignment/>
    </xf>
    <xf numFmtId="169" fontId="4" fillId="2" borderId="5" xfId="0" applyNumberFormat="1" applyFont="1" applyFill="1" applyBorder="1" applyAlignment="1">
      <alignment horizontal="center" vertical="center"/>
    </xf>
    <xf numFmtId="164" fontId="4" fillId="2" borderId="6" xfId="0" applyFont="1" applyFill="1" applyBorder="1" applyAlignment="1">
      <alignment/>
    </xf>
    <xf numFmtId="165" fontId="0" fillId="0" borderId="6" xfId="0" applyNumberFormat="1" applyBorder="1" applyAlignment="1">
      <alignment vertical="center"/>
    </xf>
    <xf numFmtId="170" fontId="4" fillId="2" borderId="5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Font="1" applyBorder="1" applyAlignment="1">
      <alignment horizontal="center" vertical="top"/>
    </xf>
    <xf numFmtId="171" fontId="0" fillId="0" borderId="5" xfId="0" applyNumberFormat="1" applyFill="1" applyBorder="1" applyAlignment="1">
      <alignment horizontal="center" vertical="center"/>
    </xf>
    <xf numFmtId="171" fontId="4" fillId="2" borderId="5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 vertical="center"/>
    </xf>
    <xf numFmtId="164" fontId="0" fillId="0" borderId="8" xfId="0" applyFont="1" applyBorder="1" applyAlignment="1">
      <alignment horizontal="center" vertical="center"/>
    </xf>
    <xf numFmtId="168" fontId="4" fillId="0" borderId="7" xfId="0" applyNumberFormat="1" applyFont="1" applyFill="1" applyBorder="1" applyAlignment="1">
      <alignment horizontal="center" vertical="center"/>
    </xf>
    <xf numFmtId="164" fontId="0" fillId="0" borderId="8" xfId="0" applyFont="1" applyFill="1" applyBorder="1" applyAlignment="1">
      <alignment vertical="center"/>
    </xf>
    <xf numFmtId="168" fontId="4" fillId="2" borderId="7" xfId="0" applyNumberFormat="1" applyFont="1" applyFill="1" applyBorder="1" applyAlignment="1">
      <alignment horizontal="center" vertical="center"/>
    </xf>
    <xf numFmtId="164" fontId="4" fillId="2" borderId="8" xfId="0" applyFont="1" applyFill="1" applyBorder="1" applyAlignment="1">
      <alignment vertical="center"/>
    </xf>
    <xf numFmtId="165" fontId="8" fillId="0" borderId="9" xfId="0" applyNumberFormat="1" applyFont="1" applyBorder="1" applyAlignment="1">
      <alignment horizontal="center" vertical="center"/>
    </xf>
    <xf numFmtId="165" fontId="9" fillId="0" borderId="10" xfId="0" applyNumberFormat="1" applyFont="1" applyBorder="1" applyAlignment="1">
      <alignment/>
    </xf>
    <xf numFmtId="165" fontId="0" fillId="0" borderId="11" xfId="0" applyNumberFormat="1" applyBorder="1" applyAlignment="1">
      <alignment/>
    </xf>
    <xf numFmtId="165" fontId="2" fillId="0" borderId="4" xfId="0" applyNumberFormat="1" applyFont="1" applyBorder="1" applyAlignment="1">
      <alignment horizontal="center"/>
    </xf>
    <xf numFmtId="165" fontId="9" fillId="0" borderId="12" xfId="0" applyNumberFormat="1" applyFon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/>
    </xf>
    <xf numFmtId="165" fontId="2" fillId="0" borderId="12" xfId="0" applyNumberFormat="1" applyFont="1" applyBorder="1" applyAlignment="1">
      <alignment/>
    </xf>
    <xf numFmtId="165" fontId="0" fillId="0" borderId="2" xfId="0" applyNumberFormat="1" applyBorder="1" applyAlignment="1">
      <alignment horizontal="center"/>
    </xf>
    <xf numFmtId="168" fontId="4" fillId="3" borderId="15" xfId="0" applyNumberFormat="1" applyFont="1" applyFill="1" applyBorder="1" applyAlignment="1">
      <alignment horizontal="right"/>
    </xf>
    <xf numFmtId="172" fontId="0" fillId="0" borderId="16" xfId="0" applyNumberFormat="1" applyFont="1" applyBorder="1" applyAlignment="1">
      <alignment/>
    </xf>
    <xf numFmtId="169" fontId="0" fillId="3" borderId="15" xfId="0" applyNumberFormat="1" applyFont="1" applyFill="1" applyBorder="1" applyAlignment="1">
      <alignment horizontal="right"/>
    </xf>
    <xf numFmtId="165" fontId="0" fillId="0" borderId="16" xfId="0" applyNumberFormat="1" applyFont="1" applyBorder="1" applyAlignment="1">
      <alignment/>
    </xf>
    <xf numFmtId="165" fontId="2" fillId="0" borderId="15" xfId="0" applyNumberFormat="1" applyFont="1" applyBorder="1" applyAlignment="1">
      <alignment/>
    </xf>
    <xf numFmtId="165" fontId="0" fillId="0" borderId="3" xfId="0" applyNumberFormat="1" applyBorder="1" applyAlignment="1">
      <alignment horizontal="center"/>
    </xf>
    <xf numFmtId="172" fontId="0" fillId="3" borderId="17" xfId="0" applyNumberFormat="1" applyFont="1" applyFill="1" applyBorder="1" applyAlignment="1">
      <alignment horizontal="center"/>
    </xf>
    <xf numFmtId="172" fontId="0" fillId="3" borderId="15" xfId="0" applyNumberFormat="1" applyFont="1" applyFill="1" applyBorder="1" applyAlignment="1">
      <alignment horizontal="right"/>
    </xf>
    <xf numFmtId="172" fontId="0" fillId="0" borderId="15" xfId="0" applyNumberFormat="1" applyFont="1" applyBorder="1" applyAlignment="1">
      <alignment horizontal="right"/>
    </xf>
    <xf numFmtId="164" fontId="0" fillId="0" borderId="16" xfId="0" applyFont="1" applyFill="1" applyBorder="1" applyAlignment="1">
      <alignment vertical="center"/>
    </xf>
    <xf numFmtId="165" fontId="2" fillId="0" borderId="18" xfId="0" applyNumberFormat="1" applyFont="1" applyBorder="1" applyAlignment="1">
      <alignment/>
    </xf>
    <xf numFmtId="165" fontId="0" fillId="0" borderId="9" xfId="0" applyNumberFormat="1" applyBorder="1" applyAlignment="1">
      <alignment/>
    </xf>
    <xf numFmtId="165" fontId="0" fillId="0" borderId="19" xfId="0" applyNumberFormat="1" applyFont="1" applyBorder="1" applyAlignment="1">
      <alignment horizontal="center"/>
    </xf>
    <xf numFmtId="165" fontId="10" fillId="0" borderId="2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165" fontId="8" fillId="0" borderId="9" xfId="0" applyNumberFormat="1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/>
    </xf>
    <xf numFmtId="165" fontId="0" fillId="0" borderId="11" xfId="0" applyNumberFormat="1" applyFill="1" applyBorder="1" applyAlignment="1">
      <alignment/>
    </xf>
    <xf numFmtId="165" fontId="2" fillId="0" borderId="4" xfId="0" applyNumberFormat="1" applyFont="1" applyFill="1" applyBorder="1" applyAlignment="1">
      <alignment horizontal="center"/>
    </xf>
    <xf numFmtId="165" fontId="9" fillId="0" borderId="12" xfId="0" applyNumberFormat="1" applyFont="1" applyFill="1" applyBorder="1" applyAlignment="1">
      <alignment/>
    </xf>
    <xf numFmtId="165" fontId="0" fillId="0" borderId="2" xfId="0" applyNumberFormat="1" applyFill="1" applyBorder="1" applyAlignment="1">
      <alignment/>
    </xf>
    <xf numFmtId="165" fontId="0" fillId="0" borderId="17" xfId="0" applyNumberFormat="1" applyFill="1" applyBorder="1" applyAlignment="1">
      <alignment horizontal="center"/>
    </xf>
    <xf numFmtId="165" fontId="2" fillId="0" borderId="12" xfId="0" applyNumberFormat="1" applyFont="1" applyFill="1" applyBorder="1" applyAlignment="1">
      <alignment/>
    </xf>
    <xf numFmtId="172" fontId="0" fillId="0" borderId="16" xfId="0" applyNumberFormat="1" applyFont="1" applyFill="1" applyBorder="1" applyAlignment="1">
      <alignment/>
    </xf>
    <xf numFmtId="164" fontId="2" fillId="0" borderId="12" xfId="0" applyFont="1" applyFill="1" applyBorder="1" applyAlignment="1">
      <alignment/>
    </xf>
    <xf numFmtId="168" fontId="0" fillId="0" borderId="15" xfId="0" applyNumberFormat="1" applyFill="1" applyBorder="1" applyAlignment="1">
      <alignment horizontal="right"/>
    </xf>
    <xf numFmtId="165" fontId="0" fillId="0" borderId="16" xfId="0" applyNumberFormat="1" applyFont="1" applyFill="1" applyBorder="1" applyAlignment="1">
      <alignment/>
    </xf>
    <xf numFmtId="167" fontId="0" fillId="0" borderId="17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right"/>
    </xf>
    <xf numFmtId="164" fontId="0" fillId="0" borderId="22" xfId="0" applyNumberFormat="1" applyFont="1" applyFill="1" applyBorder="1" applyAlignment="1">
      <alignment horizontal="left"/>
    </xf>
    <xf numFmtId="165" fontId="2" fillId="0" borderId="18" xfId="0" applyNumberFormat="1" applyFont="1" applyFill="1" applyBorder="1" applyAlignment="1">
      <alignment/>
    </xf>
    <xf numFmtId="165" fontId="0" fillId="0" borderId="9" xfId="0" applyNumberFormat="1" applyFill="1" applyBorder="1" applyAlignment="1">
      <alignment/>
    </xf>
    <xf numFmtId="165" fontId="0" fillId="0" borderId="19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165" fontId="0" fillId="0" borderId="0" xfId="0" applyNumberFormat="1" applyFill="1" applyAlignment="1">
      <alignment vertical="center"/>
    </xf>
    <xf numFmtId="165" fontId="2" fillId="0" borderId="17" xfId="0" applyNumberFormat="1" applyFont="1" applyFill="1" applyBorder="1" applyAlignment="1">
      <alignment horizontal="center"/>
    </xf>
    <xf numFmtId="164" fontId="0" fillId="0" borderId="15" xfId="0" applyNumberForma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left"/>
    </xf>
    <xf numFmtId="168" fontId="0" fillId="0" borderId="16" xfId="0" applyNumberFormat="1" applyFont="1" applyFill="1" applyBorder="1" applyAlignment="1">
      <alignment/>
    </xf>
    <xf numFmtId="165" fontId="10" fillId="0" borderId="0" xfId="0" applyNumberFormat="1" applyFont="1" applyFill="1" applyBorder="1" applyAlignment="1">
      <alignment horizontal="center" vertical="center" wrapText="1"/>
    </xf>
    <xf numFmtId="165" fontId="11" fillId="3" borderId="0" xfId="0" applyNumberFormat="1" applyFont="1" applyFill="1" applyBorder="1" applyAlignment="1">
      <alignment/>
    </xf>
    <xf numFmtId="165" fontId="12" fillId="0" borderId="0" xfId="0" applyNumberFormat="1" applyFont="1" applyFill="1" applyBorder="1" applyAlignment="1">
      <alignment horizontal="center" vertical="center" wrapText="1"/>
    </xf>
    <xf numFmtId="164" fontId="11" fillId="3" borderId="0" xfId="0" applyFont="1" applyFill="1" applyBorder="1" applyAlignment="1">
      <alignment/>
    </xf>
    <xf numFmtId="165" fontId="11" fillId="0" borderId="0" xfId="0" applyNumberFormat="1" applyFont="1" applyBorder="1" applyAlignment="1">
      <alignment/>
    </xf>
    <xf numFmtId="165" fontId="11" fillId="4" borderId="0" xfId="0" applyNumberFormat="1" applyFont="1" applyFill="1" applyBorder="1" applyAlignment="1">
      <alignment/>
    </xf>
    <xf numFmtId="164" fontId="11" fillId="4" borderId="0" xfId="0" applyFont="1" applyFill="1" applyBorder="1" applyAlignment="1">
      <alignment/>
    </xf>
    <xf numFmtId="165" fontId="2" fillId="2" borderId="4" xfId="0" applyNumberFormat="1" applyFont="1" applyFill="1" applyBorder="1" applyAlignment="1">
      <alignment horizontal="center" vertical="center"/>
    </xf>
    <xf numFmtId="164" fontId="0" fillId="0" borderId="5" xfId="0" applyFont="1" applyBorder="1" applyAlignment="1">
      <alignment vertical="center"/>
    </xf>
    <xf numFmtId="164" fontId="4" fillId="3" borderId="5" xfId="0" applyFont="1" applyFill="1" applyBorder="1" applyAlignment="1" applyProtection="1">
      <alignment horizontal="center" vertical="center"/>
      <protection locked="0"/>
    </xf>
    <xf numFmtId="164" fontId="0" fillId="0" borderId="6" xfId="0" applyFont="1" applyBorder="1" applyAlignment="1">
      <alignment vertical="center"/>
    </xf>
    <xf numFmtId="167" fontId="0" fillId="2" borderId="5" xfId="0" applyNumberFormat="1" applyFill="1" applyBorder="1" applyAlignment="1">
      <alignment horizontal="center" vertical="center"/>
    </xf>
    <xf numFmtId="164" fontId="0" fillId="2" borderId="6" xfId="0" applyFont="1" applyFill="1" applyBorder="1" applyAlignment="1">
      <alignment vertical="center"/>
    </xf>
    <xf numFmtId="168" fontId="4" fillId="0" borderId="5" xfId="0" applyNumberFormat="1" applyFont="1" applyFill="1" applyBorder="1" applyAlignment="1" applyProtection="1">
      <alignment horizontal="center" vertical="center"/>
      <protection locked="0"/>
    </xf>
    <xf numFmtId="165" fontId="0" fillId="0" borderId="5" xfId="0" applyNumberFormat="1" applyFont="1" applyBorder="1" applyAlignment="1">
      <alignment vertical="center"/>
    </xf>
    <xf numFmtId="169" fontId="0" fillId="2" borderId="5" xfId="0" applyNumberFormat="1" applyFill="1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164" fontId="0" fillId="0" borderId="6" xfId="0" applyFont="1" applyBorder="1" applyAlignment="1">
      <alignment/>
    </xf>
    <xf numFmtId="164" fontId="0" fillId="2" borderId="6" xfId="0" applyFont="1" applyFill="1" applyBorder="1" applyAlignment="1">
      <alignment/>
    </xf>
    <xf numFmtId="171" fontId="0" fillId="0" borderId="5" xfId="0" applyNumberFormat="1" applyBorder="1" applyAlignment="1">
      <alignment horizontal="center" vertical="center"/>
    </xf>
    <xf numFmtId="171" fontId="0" fillId="2" borderId="5" xfId="0" applyNumberFormat="1" applyFill="1" applyBorder="1" applyAlignment="1">
      <alignment horizontal="center" vertical="center"/>
    </xf>
    <xf numFmtId="164" fontId="0" fillId="0" borderId="7" xfId="0" applyFont="1" applyBorder="1" applyAlignment="1">
      <alignment vertical="center"/>
    </xf>
    <xf numFmtId="168" fontId="0" fillId="0" borderId="7" xfId="0" applyNumberFormat="1" applyBorder="1" applyAlignment="1">
      <alignment horizontal="center" vertical="center"/>
    </xf>
    <xf numFmtId="164" fontId="0" fillId="0" borderId="8" xfId="0" applyFont="1" applyBorder="1" applyAlignment="1">
      <alignment vertical="center"/>
    </xf>
    <xf numFmtId="168" fontId="0" fillId="2" borderId="7" xfId="0" applyNumberFormat="1" applyFill="1" applyBorder="1" applyAlignment="1">
      <alignment horizontal="center" vertical="center"/>
    </xf>
    <xf numFmtId="164" fontId="0" fillId="2" borderId="8" xfId="0" applyFont="1" applyFill="1" applyBorder="1" applyAlignment="1">
      <alignment vertical="center"/>
    </xf>
    <xf numFmtId="168" fontId="0" fillId="0" borderId="0" xfId="0" applyNumberFormat="1" applyBorder="1" applyAlignment="1">
      <alignment horizontal="center" vertical="center"/>
    </xf>
    <xf numFmtId="165" fontId="13" fillId="0" borderId="10" xfId="0" applyNumberFormat="1" applyFont="1" applyBorder="1" applyAlignment="1">
      <alignment/>
    </xf>
    <xf numFmtId="165" fontId="13" fillId="0" borderId="12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72" fontId="4" fillId="3" borderId="15" xfId="0" applyNumberFormat="1" applyFont="1" applyFill="1" applyBorder="1" applyAlignment="1">
      <alignment horizontal="right"/>
    </xf>
    <xf numFmtId="172" fontId="0" fillId="0" borderId="16" xfId="0" applyNumberFormat="1" applyFont="1" applyBorder="1" applyAlignment="1">
      <alignment/>
    </xf>
    <xf numFmtId="169" fontId="4" fillId="3" borderId="15" xfId="0" applyNumberFormat="1" applyFont="1" applyFill="1" applyBorder="1" applyAlignment="1">
      <alignment horizontal="right"/>
    </xf>
    <xf numFmtId="165" fontId="0" fillId="0" borderId="16" xfId="0" applyNumberFormat="1" applyFont="1" applyBorder="1" applyAlignment="1">
      <alignment/>
    </xf>
    <xf numFmtId="165" fontId="0" fillId="0" borderId="15" xfId="0" applyNumberFormat="1" applyFont="1" applyBorder="1" applyAlignment="1">
      <alignment/>
    </xf>
    <xf numFmtId="172" fontId="4" fillId="3" borderId="17" xfId="0" applyNumberFormat="1" applyFont="1" applyFill="1" applyBorder="1" applyAlignment="1">
      <alignment horizontal="center"/>
    </xf>
    <xf numFmtId="172" fontId="0" fillId="3" borderId="15" xfId="0" applyNumberFormat="1" applyFill="1" applyBorder="1" applyAlignment="1">
      <alignment horizontal="right"/>
    </xf>
    <xf numFmtId="172" fontId="0" fillId="0" borderId="15" xfId="0" applyNumberFormat="1" applyBorder="1" applyAlignment="1">
      <alignment horizontal="right"/>
    </xf>
    <xf numFmtId="164" fontId="4" fillId="0" borderId="16" xfId="0" applyFont="1" applyFill="1" applyBorder="1" applyAlignment="1">
      <alignment vertical="center"/>
    </xf>
    <xf numFmtId="165" fontId="0" fillId="0" borderId="18" xfId="0" applyNumberFormat="1" applyFont="1" applyBorder="1" applyAlignment="1">
      <alignment/>
    </xf>
    <xf numFmtId="165" fontId="0" fillId="0" borderId="19" xfId="0" applyNumberFormat="1" applyBorder="1" applyAlignment="1">
      <alignment horizontal="center"/>
    </xf>
    <xf numFmtId="165" fontId="8" fillId="0" borderId="0" xfId="0" applyNumberFormat="1" applyFont="1" applyFill="1" applyBorder="1" applyAlignment="1">
      <alignment horizontal="center" vertical="center"/>
    </xf>
    <xf numFmtId="165" fontId="13" fillId="0" borderId="10" xfId="0" applyNumberFormat="1" applyFont="1" applyFill="1" applyBorder="1" applyAlignment="1">
      <alignment/>
    </xf>
    <xf numFmtId="165" fontId="13" fillId="0" borderId="12" xfId="0" applyNumberFormat="1" applyFont="1" applyFill="1" applyBorder="1" applyAlignment="1">
      <alignment/>
    </xf>
    <xf numFmtId="165" fontId="0" fillId="0" borderId="23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12" xfId="0" applyNumberFormat="1" applyFont="1" applyFill="1" applyBorder="1" applyAlignment="1">
      <alignment/>
    </xf>
    <xf numFmtId="164" fontId="0" fillId="0" borderId="12" xfId="0" applyFont="1" applyFill="1" applyBorder="1" applyAlignment="1">
      <alignment/>
    </xf>
    <xf numFmtId="167" fontId="0" fillId="0" borderId="15" xfId="0" applyNumberFormat="1" applyFill="1" applyBorder="1" applyAlignment="1">
      <alignment horizontal="right"/>
    </xf>
    <xf numFmtId="165" fontId="0" fillId="0" borderId="18" xfId="0" applyNumberFormat="1" applyFont="1" applyFill="1" applyBorder="1" applyAlignment="1">
      <alignment/>
    </xf>
    <xf numFmtId="165" fontId="0" fillId="0" borderId="24" xfId="0" applyNumberFormat="1" applyFill="1" applyBorder="1" applyAlignment="1">
      <alignment horizontal="center"/>
    </xf>
    <xf numFmtId="165" fontId="0" fillId="0" borderId="12" xfId="0" applyNumberFormat="1" applyFont="1" applyFill="1" applyBorder="1" applyAlignment="1">
      <alignment/>
    </xf>
    <xf numFmtId="164" fontId="0" fillId="0" borderId="0" xfId="0" applyAlignment="1">
      <alignment horizontal="center"/>
    </xf>
    <xf numFmtId="164" fontId="8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 wrapText="1"/>
    </xf>
    <xf numFmtId="164" fontId="14" fillId="0" borderId="0" xfId="0" applyFont="1" applyBorder="1" applyAlignment="1">
      <alignment horizontal="center" wrapText="1"/>
    </xf>
    <xf numFmtId="164" fontId="14" fillId="0" borderId="0" xfId="0" applyFont="1" applyAlignment="1">
      <alignment horizontal="center" wrapText="1"/>
    </xf>
    <xf numFmtId="164" fontId="8" fillId="0" borderId="1" xfId="0" applyFont="1" applyBorder="1" applyAlignment="1">
      <alignment horizontal="center" vertical="center"/>
    </xf>
    <xf numFmtId="164" fontId="13" fillId="0" borderId="25" xfId="0" applyFont="1" applyBorder="1" applyAlignment="1">
      <alignment horizontal="center" wrapText="1"/>
    </xf>
    <xf numFmtId="164" fontId="13" fillId="0" borderId="26" xfId="0" applyFont="1" applyBorder="1" applyAlignment="1">
      <alignment/>
    </xf>
    <xf numFmtId="164" fontId="13" fillId="0" borderId="27" xfId="0" applyFont="1" applyBorder="1" applyAlignment="1">
      <alignment horizontal="center" vertical="center"/>
    </xf>
    <xf numFmtId="164" fontId="13" fillId="0" borderId="28" xfId="0" applyFont="1" applyBorder="1" applyAlignment="1">
      <alignment horizontal="center" vertical="center" wrapText="1"/>
    </xf>
    <xf numFmtId="164" fontId="13" fillId="0" borderId="29" xfId="0" applyFont="1" applyBorder="1" applyAlignment="1">
      <alignment horizontal="center" vertical="center" wrapText="1"/>
    </xf>
    <xf numFmtId="164" fontId="0" fillId="0" borderId="30" xfId="0" applyBorder="1" applyAlignment="1">
      <alignment/>
    </xf>
    <xf numFmtId="164" fontId="0" fillId="0" borderId="0" xfId="0" applyBorder="1" applyAlignment="1">
      <alignment horizontal="center"/>
    </xf>
    <xf numFmtId="164" fontId="0" fillId="0" borderId="31" xfId="0" applyFont="1" applyBorder="1" applyAlignment="1">
      <alignment horizontal="center" vertical="center"/>
    </xf>
    <xf numFmtId="164" fontId="0" fillId="0" borderId="31" xfId="0" applyFont="1" applyBorder="1" applyAlignment="1">
      <alignment horizontal="center" vertical="center" wrapText="1"/>
    </xf>
    <xf numFmtId="164" fontId="0" fillId="0" borderId="31" xfId="0" applyFont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0" borderId="31" xfId="0" applyBorder="1" applyAlignment="1">
      <alignment/>
    </xf>
    <xf numFmtId="168" fontId="0" fillId="0" borderId="31" xfId="0" applyNumberFormat="1" applyBorder="1" applyAlignment="1">
      <alignment horizontal="center"/>
    </xf>
    <xf numFmtId="168" fontId="0" fillId="0" borderId="6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4" fontId="0" fillId="0" borderId="32" xfId="0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33" xfId="0" applyFont="1" applyBorder="1" applyAlignment="1">
      <alignment horizontal="center"/>
    </xf>
    <xf numFmtId="164" fontId="0" fillId="0" borderId="33" xfId="0" applyBorder="1" applyAlignment="1">
      <alignment/>
    </xf>
    <xf numFmtId="168" fontId="0" fillId="0" borderId="33" xfId="0" applyNumberFormat="1" applyBorder="1" applyAlignment="1">
      <alignment horizontal="center"/>
    </xf>
    <xf numFmtId="168" fontId="0" fillId="0" borderId="8" xfId="0" applyNumberFormat="1" applyBorder="1" applyAlignment="1">
      <alignment horizontal="center"/>
    </xf>
    <xf numFmtId="168" fontId="0" fillId="0" borderId="0" xfId="0" applyNumberFormat="1" applyAlignment="1">
      <alignment horizontal="center"/>
    </xf>
    <xf numFmtId="164" fontId="13" fillId="0" borderId="25" xfId="0" applyFont="1" applyBorder="1" applyAlignment="1">
      <alignment horizontal="center" vertical="center"/>
    </xf>
    <xf numFmtId="164" fontId="13" fillId="0" borderId="26" xfId="0" applyFont="1" applyBorder="1" applyAlignment="1">
      <alignment horizontal="center" vertical="center" wrapText="1"/>
    </xf>
    <xf numFmtId="164" fontId="13" fillId="0" borderId="30" xfId="0" applyFont="1" applyBorder="1" applyAlignment="1">
      <alignment horizontal="center" vertical="center"/>
    </xf>
    <xf numFmtId="164" fontId="13" fillId="0" borderId="0" xfId="0" applyFont="1" applyBorder="1" applyAlignment="1">
      <alignment horizontal="center" vertical="center" wrapText="1"/>
    </xf>
    <xf numFmtId="164" fontId="13" fillId="0" borderId="0" xfId="0" applyFont="1" applyBorder="1" applyAlignment="1">
      <alignment horizontal="center" vertical="center"/>
    </xf>
    <xf numFmtId="164" fontId="0" fillId="0" borderId="34" xfId="0" applyFont="1" applyBorder="1" applyAlignment="1">
      <alignment horizontal="center" vertical="center"/>
    </xf>
    <xf numFmtId="164" fontId="0" fillId="0" borderId="34" xfId="0" applyFont="1" applyBorder="1" applyAlignment="1">
      <alignment horizontal="center" vertical="center" wrapText="1"/>
    </xf>
    <xf numFmtId="164" fontId="0" fillId="0" borderId="34" xfId="0" applyFont="1" applyBorder="1" applyAlignment="1">
      <alignment horizontal="center"/>
    </xf>
    <xf numFmtId="164" fontId="0" fillId="0" borderId="14" xfId="0" applyFont="1" applyBorder="1" applyAlignment="1">
      <alignment horizontal="center"/>
    </xf>
    <xf numFmtId="164" fontId="0" fillId="0" borderId="5" xfId="0" applyFont="1" applyBorder="1" applyAlignment="1">
      <alignment/>
    </xf>
    <xf numFmtId="164" fontId="0" fillId="0" borderId="7" xfId="0" applyFont="1" applyBorder="1" applyAlignment="1">
      <alignment/>
    </xf>
    <xf numFmtId="164" fontId="0" fillId="0" borderId="30" xfId="0" applyBorder="1" applyAlignment="1">
      <alignment horizontal="center"/>
    </xf>
    <xf numFmtId="167" fontId="0" fillId="0" borderId="31" xfId="0" applyNumberFormat="1" applyFont="1" applyBorder="1" applyAlignment="1">
      <alignment horizontal="center"/>
    </xf>
    <xf numFmtId="173" fontId="0" fillId="0" borderId="31" xfId="0" applyNumberFormat="1" applyFont="1" applyBorder="1" applyAlignment="1">
      <alignment horizontal="center"/>
    </xf>
    <xf numFmtId="173" fontId="0" fillId="0" borderId="3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114300</xdr:rowOff>
    </xdr:from>
    <xdr:to>
      <xdr:col>2</xdr:col>
      <xdr:colOff>371475</xdr:colOff>
      <xdr:row>7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28650"/>
          <a:ext cx="184785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0</xdr:rowOff>
    </xdr:from>
    <xdr:to>
      <xdr:col>5</xdr:col>
      <xdr:colOff>542925</xdr:colOff>
      <xdr:row>3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0"/>
          <a:ext cx="18478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83"/>
  <sheetViews>
    <sheetView showGridLines="0" tabSelected="1" view="pageBreakPreview" zoomScaleNormal="75" zoomScaleSheetLayoutView="100" workbookViewId="0" topLeftCell="A10">
      <selection activeCell="N18" sqref="N18"/>
    </sheetView>
  </sheetViews>
  <sheetFormatPr defaultColWidth="8.00390625" defaultRowHeight="12.75"/>
  <cols>
    <col min="1" max="1" width="2.8515625" style="1" customWidth="1"/>
    <col min="2" max="2" width="22.7109375" style="1" customWidth="1"/>
    <col min="3" max="3" width="10.57421875" style="1" customWidth="1"/>
    <col min="4" max="6" width="10.7109375" style="1" customWidth="1"/>
    <col min="7" max="7" width="10.57421875" style="1" customWidth="1"/>
    <col min="8" max="8" width="10.7109375" style="1" customWidth="1"/>
    <col min="9" max="9" width="10.57421875" style="1" customWidth="1"/>
    <col min="10" max="16384" width="7.7109375" style="1" customWidth="1"/>
  </cols>
  <sheetData>
    <row r="3" ht="15" customHeight="1">
      <c r="I3" s="2" t="s">
        <v>0</v>
      </c>
    </row>
    <row r="4" ht="15" customHeight="1"/>
    <row r="5" ht="15" customHeight="1"/>
    <row r="6" ht="15" customHeight="1"/>
    <row r="7" spans="2:9" ht="15" customHeight="1">
      <c r="B7" s="3"/>
      <c r="C7" s="3"/>
      <c r="D7" s="3"/>
      <c r="E7" s="3"/>
      <c r="F7" s="3"/>
      <c r="G7" s="3"/>
      <c r="H7" s="3"/>
      <c r="I7" s="3"/>
    </row>
    <row r="8" spans="2:9" ht="15" customHeight="1">
      <c r="B8" s="2"/>
      <c r="C8" s="2"/>
      <c r="D8" s="2"/>
      <c r="E8" s="2"/>
      <c r="F8" s="2"/>
      <c r="G8" s="2"/>
      <c r="H8" s="2"/>
      <c r="I8" s="2"/>
    </row>
    <row r="9" spans="2:9" ht="24">
      <c r="B9" s="4" t="s">
        <v>1</v>
      </c>
      <c r="C9" s="4"/>
      <c r="D9" s="4"/>
      <c r="E9" s="4"/>
      <c r="F9" s="4"/>
      <c r="G9" s="4"/>
      <c r="H9" s="4"/>
      <c r="I9" s="4"/>
    </row>
    <row r="10" ht="6" customHeight="1"/>
    <row r="11" spans="2:9" s="5" customFormat="1" ht="19.5" customHeight="1">
      <c r="B11" s="6" t="s">
        <v>2</v>
      </c>
      <c r="C11" s="7"/>
      <c r="D11" s="8"/>
      <c r="E11" s="8"/>
      <c r="F11" s="8"/>
      <c r="G11" s="8"/>
      <c r="H11" s="8"/>
      <c r="I11" s="8"/>
    </row>
    <row r="12" spans="2:9" s="5" customFormat="1" ht="19.5" customHeight="1">
      <c r="B12" s="6"/>
      <c r="C12" s="9"/>
      <c r="D12" s="10"/>
      <c r="E12" s="10"/>
      <c r="F12" s="10"/>
      <c r="G12" s="10"/>
      <c r="H12" s="10"/>
      <c r="I12" s="10"/>
    </row>
    <row r="13" spans="2:9" s="5" customFormat="1" ht="19.5" customHeight="1">
      <c r="B13" s="6" t="s">
        <v>3</v>
      </c>
      <c r="C13" s="7" t="s">
        <v>4</v>
      </c>
      <c r="D13" s="8"/>
      <c r="E13" s="8"/>
      <c r="F13" s="8"/>
      <c r="G13" s="6" t="s">
        <v>5</v>
      </c>
      <c r="H13" s="11"/>
      <c r="I13" s="11"/>
    </row>
    <row r="14" spans="4:9" s="5" customFormat="1" ht="12" customHeight="1">
      <c r="D14" s="12"/>
      <c r="E14" s="12"/>
      <c r="F14" s="12"/>
      <c r="G14" s="12"/>
      <c r="H14" s="12"/>
      <c r="I14" s="12"/>
    </row>
    <row r="15" spans="2:9" ht="19.5" customHeight="1">
      <c r="B15" s="13" t="s">
        <v>6</v>
      </c>
      <c r="C15" s="13"/>
      <c r="D15" s="14"/>
      <c r="E15" s="15" t="s">
        <v>7</v>
      </c>
      <c r="F15" s="15"/>
      <c r="G15" s="14"/>
      <c r="H15" s="16" t="s">
        <v>8</v>
      </c>
      <c r="I15" s="16"/>
    </row>
    <row r="16" spans="2:9" ht="19.5" customHeight="1">
      <c r="B16" s="17" t="s">
        <v>9</v>
      </c>
      <c r="C16" s="18" t="s">
        <v>10</v>
      </c>
      <c r="D16" s="19"/>
      <c r="E16" s="20">
        <v>9.2</v>
      </c>
      <c r="F16" s="21" t="s">
        <v>11</v>
      </c>
      <c r="G16" s="19"/>
      <c r="H16" s="22">
        <f>SUM(E16*3.28084)</f>
        <v>30.183728</v>
      </c>
      <c r="I16" s="23" t="s">
        <v>12</v>
      </c>
    </row>
    <row r="17" spans="2:9" ht="19.5" customHeight="1">
      <c r="B17" s="17" t="s">
        <v>13</v>
      </c>
      <c r="C17" s="18" t="s">
        <v>14</v>
      </c>
      <c r="D17" s="19"/>
      <c r="E17" s="20">
        <v>8.5</v>
      </c>
      <c r="F17" s="21" t="s">
        <v>11</v>
      </c>
      <c r="G17" s="19"/>
      <c r="H17" s="22">
        <f>SUM(E17*3.28084)</f>
        <v>27.88714</v>
      </c>
      <c r="I17" s="23" t="s">
        <v>12</v>
      </c>
    </row>
    <row r="18" spans="2:9" ht="19.5" customHeight="1">
      <c r="B18" s="17" t="s">
        <v>15</v>
      </c>
      <c r="C18" s="18" t="s">
        <v>16</v>
      </c>
      <c r="D18" s="19"/>
      <c r="E18" s="24">
        <v>4300</v>
      </c>
      <c r="F18" s="21" t="s">
        <v>17</v>
      </c>
      <c r="G18" s="19"/>
      <c r="H18" s="25">
        <f>IF(E18="n/a","n/a",(E18*2.2046))</f>
        <v>9479.78</v>
      </c>
      <c r="I18" s="23" t="s">
        <v>18</v>
      </c>
    </row>
    <row r="19" spans="2:9" ht="19.5" customHeight="1">
      <c r="B19" s="17" t="s">
        <v>19</v>
      </c>
      <c r="C19" s="18" t="s">
        <v>20</v>
      </c>
      <c r="D19" s="19"/>
      <c r="E19" s="26">
        <f>H19</f>
        <v>195.13640939192936</v>
      </c>
      <c r="F19" s="21"/>
      <c r="G19" s="27"/>
      <c r="H19" s="25">
        <f>IF(E18="n/a","n/a",((H18/2240)/POWER(0.01*H17,3)))</f>
        <v>195.13640939192936</v>
      </c>
      <c r="I19" s="23"/>
    </row>
    <row r="20" spans="2:9" ht="19.5" customHeight="1">
      <c r="B20" s="28" t="s">
        <v>21</v>
      </c>
      <c r="C20" s="29" t="s">
        <v>22</v>
      </c>
      <c r="D20" s="30"/>
      <c r="E20" s="31">
        <v>1.2</v>
      </c>
      <c r="F20" s="21" t="s">
        <v>11</v>
      </c>
      <c r="G20" s="30"/>
      <c r="H20" s="22">
        <f>SUM(E20*3.28084)</f>
        <v>3.9370079999999996</v>
      </c>
      <c r="I20" s="23" t="s">
        <v>12</v>
      </c>
    </row>
    <row r="21" spans="2:9" ht="19.5" customHeight="1">
      <c r="B21" s="28" t="s">
        <v>23</v>
      </c>
      <c r="C21" s="29" t="s">
        <v>24</v>
      </c>
      <c r="D21" s="30"/>
      <c r="E21" s="31">
        <v>0.5</v>
      </c>
      <c r="F21" s="21" t="s">
        <v>11</v>
      </c>
      <c r="G21" s="30"/>
      <c r="H21" s="22">
        <f>SUM(E21*3.28084)</f>
        <v>1.64042</v>
      </c>
      <c r="I21" s="23" t="s">
        <v>12</v>
      </c>
    </row>
    <row r="22" spans="2:9" ht="19.5" customHeight="1">
      <c r="B22" s="28" t="s">
        <v>25</v>
      </c>
      <c r="C22" s="29" t="s">
        <v>26</v>
      </c>
      <c r="D22" s="30"/>
      <c r="E22" s="32">
        <f>SUM(E20*E21)</f>
        <v>0.6</v>
      </c>
      <c r="F22" s="33" t="s">
        <v>27</v>
      </c>
      <c r="G22" s="34"/>
      <c r="H22" s="35">
        <f>SUM(E22*10.764)</f>
        <v>6.458399999999999</v>
      </c>
      <c r="I22" s="36" t="s">
        <v>28</v>
      </c>
    </row>
    <row r="23" spans="2:9" ht="19.5" customHeight="1">
      <c r="B23" s="28" t="s">
        <v>29</v>
      </c>
      <c r="C23" s="37"/>
      <c r="D23" s="30"/>
      <c r="E23" s="31">
        <v>0.09</v>
      </c>
      <c r="F23" s="21" t="s">
        <v>11</v>
      </c>
      <c r="G23" s="30"/>
      <c r="H23" s="38">
        <f>SUM(E23*3.28084)</f>
        <v>0.29527559999999997</v>
      </c>
      <c r="I23" s="23" t="s">
        <v>12</v>
      </c>
    </row>
    <row r="24" spans="2:9" ht="19.5" customHeight="1">
      <c r="B24" s="17" t="s">
        <v>30</v>
      </c>
      <c r="C24" s="18" t="s">
        <v>31</v>
      </c>
      <c r="D24" s="39"/>
      <c r="E24" s="40">
        <f>H24</f>
        <v>7.076308966120685</v>
      </c>
      <c r="F24" s="21" t="s">
        <v>32</v>
      </c>
      <c r="G24" s="19"/>
      <c r="H24" s="41">
        <f>(1.34*(SQRT(H17)))</f>
        <v>7.076308966120685</v>
      </c>
      <c r="I24" s="23" t="s">
        <v>33</v>
      </c>
    </row>
    <row r="25" spans="2:9" ht="19.5" customHeight="1">
      <c r="B25" s="42" t="s">
        <v>34</v>
      </c>
      <c r="C25" s="43" t="s">
        <v>35</v>
      </c>
      <c r="D25" s="39"/>
      <c r="E25" s="44">
        <f>(E22*((0.4*E21)-E23)*(E24*E24)*8.7)*9.80665</f>
        <v>281.96645057711896</v>
      </c>
      <c r="F25" s="45" t="s">
        <v>36</v>
      </c>
      <c r="G25" s="19"/>
      <c r="H25" s="46">
        <f>SUM(E25*0.7376)</f>
        <v>207.97845394568296</v>
      </c>
      <c r="I25" s="47" t="s">
        <v>37</v>
      </c>
    </row>
    <row r="26" ht="12" customHeight="1"/>
    <row r="27" spans="2:9" ht="19.5" customHeight="1">
      <c r="B27" s="48" t="s">
        <v>38</v>
      </c>
      <c r="C27" s="48"/>
      <c r="D27" s="48"/>
      <c r="E27" s="48"/>
      <c r="F27" s="48"/>
      <c r="G27" s="48"/>
      <c r="H27" s="48"/>
      <c r="I27" s="48"/>
    </row>
    <row r="28" spans="2:9" ht="12.75">
      <c r="B28" s="49" t="s">
        <v>39</v>
      </c>
      <c r="C28" s="50"/>
      <c r="D28" s="51" t="s">
        <v>40</v>
      </c>
      <c r="E28" s="51"/>
      <c r="F28" s="51" t="s">
        <v>41</v>
      </c>
      <c r="G28" s="51"/>
      <c r="H28" s="51" t="s">
        <v>42</v>
      </c>
      <c r="I28" s="51"/>
    </row>
    <row r="29" spans="2:9" ht="3" customHeight="1">
      <c r="B29" s="52"/>
      <c r="C29" s="53"/>
      <c r="D29" s="54"/>
      <c r="E29" s="55"/>
      <c r="F29" s="54"/>
      <c r="G29" s="55"/>
      <c r="H29" s="54"/>
      <c r="I29" s="55"/>
    </row>
    <row r="30" spans="2:9" ht="12.75">
      <c r="B30" s="56" t="s">
        <v>43</v>
      </c>
      <c r="C30" s="57"/>
      <c r="D30" s="58">
        <v>600</v>
      </c>
      <c r="E30" s="59" t="s">
        <v>44</v>
      </c>
      <c r="F30" s="58">
        <v>406</v>
      </c>
      <c r="G30" s="59" t="s">
        <v>44</v>
      </c>
      <c r="H30" s="58">
        <v>406</v>
      </c>
      <c r="I30" s="59" t="s">
        <v>44</v>
      </c>
    </row>
    <row r="31" spans="2:9" ht="12.75">
      <c r="B31" s="56" t="s">
        <v>45</v>
      </c>
      <c r="C31" s="57"/>
      <c r="D31" s="60">
        <v>15.875</v>
      </c>
      <c r="E31" s="61" t="s">
        <v>44</v>
      </c>
      <c r="F31" s="60">
        <v>15.875</v>
      </c>
      <c r="G31" s="61" t="s">
        <v>44</v>
      </c>
      <c r="H31" s="60">
        <v>15.875</v>
      </c>
      <c r="I31" s="61" t="s">
        <v>44</v>
      </c>
    </row>
    <row r="32" spans="2:9" ht="12.75">
      <c r="B32" s="62" t="s">
        <v>46</v>
      </c>
      <c r="C32" s="63"/>
      <c r="D32" s="64">
        <v>11</v>
      </c>
      <c r="E32" s="64"/>
      <c r="F32" s="64">
        <v>13</v>
      </c>
      <c r="G32" s="64"/>
      <c r="H32" s="64">
        <v>13</v>
      </c>
      <c r="I32" s="64"/>
    </row>
    <row r="33" spans="2:9" ht="12.75">
      <c r="B33" s="56" t="s">
        <v>47</v>
      </c>
      <c r="C33" s="57"/>
      <c r="D33" s="65">
        <v>230</v>
      </c>
      <c r="E33" s="59" t="s">
        <v>44</v>
      </c>
      <c r="F33" s="65">
        <v>508</v>
      </c>
      <c r="G33" s="59" t="s">
        <v>44</v>
      </c>
      <c r="H33" s="65">
        <v>508</v>
      </c>
      <c r="I33" s="59" t="s">
        <v>44</v>
      </c>
    </row>
    <row r="34" spans="2:9" ht="12.75">
      <c r="B34" s="56" t="s">
        <v>48</v>
      </c>
      <c r="C34" s="53"/>
      <c r="D34" s="66">
        <f>(E25/($D$33/1000))</f>
        <v>1225.9410894657346</v>
      </c>
      <c r="E34" s="67" t="s">
        <v>49</v>
      </c>
      <c r="F34" s="66">
        <f>(E25/($F$33/1000))</f>
        <v>555.0520680651948</v>
      </c>
      <c r="G34" s="67" t="s">
        <v>49</v>
      </c>
      <c r="H34" s="66">
        <f>(E25/($H$33/1000))</f>
        <v>555.0520680651948</v>
      </c>
      <c r="I34" s="67" t="s">
        <v>49</v>
      </c>
    </row>
    <row r="35" spans="2:9" ht="12.75">
      <c r="B35" s="56" t="s">
        <v>50</v>
      </c>
      <c r="C35" s="53"/>
      <c r="D35" s="66">
        <f>(D34/((0.5*D30)/(D31*D32/(2*PI()))))</f>
        <v>113.57294762755227</v>
      </c>
      <c r="E35" s="67" t="s">
        <v>49</v>
      </c>
      <c r="F35" s="66">
        <f>(F34/((0.5*F30)/(F31*F32/(2*PI()))))</f>
        <v>89.80797523714998</v>
      </c>
      <c r="G35" s="67" t="s">
        <v>49</v>
      </c>
      <c r="H35" s="66">
        <f>(H34/((0.5*H30)/(H31*H32/(2*PI()))))</f>
        <v>89.80797523714998</v>
      </c>
      <c r="I35" s="67" t="s">
        <v>49</v>
      </c>
    </row>
    <row r="36" spans="2:9" ht="12.75">
      <c r="B36" s="68" t="s">
        <v>51</v>
      </c>
      <c r="C36" s="69"/>
      <c r="D36" s="70">
        <f>2*PI()*D33/(D31*D32)*(72/360)</f>
        <v>1.655126838254895</v>
      </c>
      <c r="E36" s="70"/>
      <c r="F36" s="70">
        <f>2*PI()*F33/(F31*F32)*(72/360)</f>
        <v>3.093260458919181</v>
      </c>
      <c r="G36" s="70"/>
      <c r="H36" s="70">
        <f>2*PI()*H33/(H31*H32)*(72/360)</f>
        <v>3.093260458919181</v>
      </c>
      <c r="I36" s="70"/>
    </row>
    <row r="37" spans="2:9" ht="12.75">
      <c r="B37" s="14"/>
      <c r="C37" s="14"/>
      <c r="D37" s="71" t="str">
        <f>IF(D35&gt;225,"INAKZEPTABLE RAD- LAST","AKZEPTABLE RAD- LAST")</f>
        <v>AKZEPTABLE RAD- LAST</v>
      </c>
      <c r="E37" s="71"/>
      <c r="F37" s="71" t="str">
        <f>IF(F35&gt;225,"INAKZEPTABLE RAD- LAST","AKZEPTABLE RAD- LAST")</f>
        <v>AKZEPTABLE RAD- LAST</v>
      </c>
      <c r="G37" s="71"/>
      <c r="H37" s="71" t="str">
        <f>IF(H35&gt;225,"INAKZEPTABLE RAD- LAST","AKZEPTABLE RAD- LAST")</f>
        <v>AKZEPTABLE RAD- LAST</v>
      </c>
      <c r="I37" s="71"/>
    </row>
    <row r="38" spans="4:9" ht="15" customHeight="1">
      <c r="D38" s="71"/>
      <c r="E38" s="71"/>
      <c r="F38" s="71"/>
      <c r="G38" s="71"/>
      <c r="H38" s="71"/>
      <c r="I38" s="71"/>
    </row>
    <row r="39" spans="1:9" ht="14.25">
      <c r="A39" s="72"/>
      <c r="B39" s="73" t="s">
        <v>52</v>
      </c>
      <c r="C39" s="73"/>
      <c r="D39" s="73"/>
      <c r="E39" s="73"/>
      <c r="F39" s="73"/>
      <c r="G39" s="73"/>
      <c r="H39" s="73"/>
      <c r="I39" s="73"/>
    </row>
    <row r="40" spans="1:9" ht="12">
      <c r="A40" s="72"/>
      <c r="B40" s="74" t="s">
        <v>39</v>
      </c>
      <c r="C40" s="75"/>
      <c r="D40" s="76" t="str">
        <f>IF(E16&lt;13.71,IF(E25&lt;3658,"COBRA CRUISING",IF(E25&lt;4384,"COBRA RACING",IF(E25&lt;4903,"COBRA OCEAN","WIRE or MAMBA"))),"N/A")</f>
        <v>COBRA CRUISING</v>
      </c>
      <c r="E40" s="76"/>
      <c r="F40" s="76" t="str">
        <f>IF(E16&lt;16.76,IF(E25&lt;4384,"COBRA RACING",IF(E25&lt;4903,"COBRA OCEAN","WIRE or MAMBA")),"N/A")</f>
        <v>COBRA RACING</v>
      </c>
      <c r="G40" s="76"/>
      <c r="H40" s="76" t="str">
        <f>IF(E16&lt;18.3,IF(E25&lt;4903,"COBRA OCEAN","WIRE or MAMBA"),"N/A")</f>
        <v>COBRA OCEAN</v>
      </c>
      <c r="I40" s="76"/>
    </row>
    <row r="41" spans="1:9" ht="3" customHeight="1">
      <c r="A41" s="72"/>
      <c r="B41" s="77"/>
      <c r="C41" s="78"/>
      <c r="D41" s="79"/>
      <c r="E41" s="79"/>
      <c r="F41" s="79"/>
      <c r="G41" s="79"/>
      <c r="H41" s="79"/>
      <c r="I41" s="79"/>
    </row>
    <row r="42" spans="1:9" ht="12">
      <c r="A42" s="72"/>
      <c r="B42" s="80" t="s">
        <v>43</v>
      </c>
      <c r="C42" s="78"/>
      <c r="D42" s="58">
        <v>914</v>
      </c>
      <c r="E42" s="81" t="s">
        <v>44</v>
      </c>
      <c r="F42" s="58">
        <v>406</v>
      </c>
      <c r="G42" s="81" t="s">
        <v>44</v>
      </c>
      <c r="H42" s="58">
        <v>406</v>
      </c>
      <c r="I42" s="81" t="s">
        <v>44</v>
      </c>
    </row>
    <row r="43" spans="1:9" ht="12">
      <c r="A43" s="72"/>
      <c r="B43" s="82" t="s">
        <v>53</v>
      </c>
      <c r="C43" s="78"/>
      <c r="D43" s="83">
        <v>133.34</v>
      </c>
      <c r="E43" s="84" t="s">
        <v>44</v>
      </c>
      <c r="F43" s="83">
        <v>133.34</v>
      </c>
      <c r="G43" s="84" t="s">
        <v>44</v>
      </c>
      <c r="H43" s="83">
        <v>133.34</v>
      </c>
      <c r="I43" s="84" t="s">
        <v>44</v>
      </c>
    </row>
    <row r="44" spans="1:9" ht="12">
      <c r="A44" s="72"/>
      <c r="B44" s="82" t="s">
        <v>54</v>
      </c>
      <c r="C44" s="78"/>
      <c r="D44" s="83">
        <v>203.3</v>
      </c>
      <c r="E44" s="84" t="s">
        <v>44</v>
      </c>
      <c r="F44" s="83">
        <v>203.3</v>
      </c>
      <c r="G44" s="84" t="s">
        <v>44</v>
      </c>
      <c r="H44" s="83">
        <v>203.3</v>
      </c>
      <c r="I44" s="84" t="s">
        <v>44</v>
      </c>
    </row>
    <row r="45" spans="1:9" ht="12.75" customHeight="1">
      <c r="A45" s="72"/>
      <c r="B45" s="82" t="s">
        <v>55</v>
      </c>
      <c r="C45" s="78"/>
      <c r="D45" s="85">
        <f>D73/D69</f>
        <v>2.7800702536890713</v>
      </c>
      <c r="E45" s="85"/>
      <c r="F45" s="85">
        <f>F73/F69</f>
        <v>2.7800702536890713</v>
      </c>
      <c r="G45" s="85"/>
      <c r="H45" s="85">
        <f>H73/H69</f>
        <v>2.7800702536890713</v>
      </c>
      <c r="I45" s="85"/>
    </row>
    <row r="46" spans="1:9" ht="12">
      <c r="A46" s="72"/>
      <c r="B46" s="82" t="s">
        <v>56</v>
      </c>
      <c r="C46" s="78"/>
      <c r="D46" s="86">
        <f>IF(D40="COBRA CRUISING",5,(IF(D40="COBRA RACING",4,(IF(D40="COBRA OCEAN",6.7,"N/A")))))</f>
        <v>5</v>
      </c>
      <c r="E46" s="87" t="s">
        <v>57</v>
      </c>
      <c r="F46" s="86">
        <f>IF(F40="COBRA CRUISING",5,(IF(F40="COBRA RACING",4,(IF(F40="COBRA OCEAN",6.7,"N/A")))))</f>
        <v>4</v>
      </c>
      <c r="G46" s="87" t="s">
        <v>57</v>
      </c>
      <c r="H46" s="86">
        <f>IF(H40="COBRA CRUISING",5,(IF(H40="COBRA RACING",4,(IF(H40="COBRA OCEAN",6.7,"N/A")))))</f>
        <v>6.7</v>
      </c>
      <c r="I46" s="87" t="s">
        <v>57</v>
      </c>
    </row>
    <row r="47" spans="1:9" ht="12">
      <c r="A47" s="72"/>
      <c r="B47" s="82" t="s">
        <v>58</v>
      </c>
      <c r="C47" s="78"/>
      <c r="D47" s="83">
        <v>36</v>
      </c>
      <c r="E47" s="84" t="s">
        <v>59</v>
      </c>
      <c r="F47" s="83">
        <v>36</v>
      </c>
      <c r="G47" s="84" t="s">
        <v>59</v>
      </c>
      <c r="H47" s="83">
        <v>36</v>
      </c>
      <c r="I47" s="84" t="s">
        <v>59</v>
      </c>
    </row>
    <row r="48" spans="1:9" ht="12">
      <c r="A48" s="72"/>
      <c r="B48" s="82" t="s">
        <v>50</v>
      </c>
      <c r="C48" s="78"/>
      <c r="D48" s="83">
        <f>IF(D46="N/A","N/A",($E$25/D45/D46/(D42*0.5/1000)))</f>
        <v>44.38696616212486</v>
      </c>
      <c r="E48" s="84" t="s">
        <v>49</v>
      </c>
      <c r="F48" s="83">
        <f>IF(F46="N/A","N/A",($E$25/F45/F46/(F42*0.5/1000)))</f>
        <v>124.90667202026513</v>
      </c>
      <c r="G48" s="84" t="s">
        <v>49</v>
      </c>
      <c r="H48" s="83">
        <f>IF(H46="N/A","N/A",($E$25/H45/H46/(H42*0.5/1000)))</f>
        <v>74.57114747478515</v>
      </c>
      <c r="I48" s="84" t="s">
        <v>49</v>
      </c>
    </row>
    <row r="49" spans="1:9" ht="12">
      <c r="A49" s="72"/>
      <c r="B49" s="88" t="s">
        <v>51</v>
      </c>
      <c r="C49" s="89"/>
      <c r="D49" s="90">
        <f>IF(D46="N/A","N/A",(ATAN(D70/D69)/(PI()/180)*D46/180))</f>
        <v>1.768347195486954</v>
      </c>
      <c r="E49" s="90"/>
      <c r="F49" s="90">
        <f>IF(F46="N/A","N/A",(ATAN(F70/F69)/(PI()/180)*F46/180))</f>
        <v>1.4146777563895634</v>
      </c>
      <c r="G49" s="90"/>
      <c r="H49" s="90">
        <f>IF(H46="N/A","N/A",(ATAN(H70/H69)/(PI()/180)*H46/180))</f>
        <v>2.3695852419525187</v>
      </c>
      <c r="I49" s="90"/>
    </row>
    <row r="50" spans="1:9" ht="12.75" customHeight="1">
      <c r="A50" s="72"/>
      <c r="B50" s="91"/>
      <c r="C50" s="91"/>
      <c r="D50" s="71" t="str">
        <f>IF(D46="N/A","N/A",IF(D48&gt;225,"INAKZEPTABLE RAD- LAST","AKZEPTABLE RAD- LAST"))</f>
        <v>AKZEPTABLE RAD- LAST</v>
      </c>
      <c r="E50" s="71"/>
      <c r="F50" s="71" t="str">
        <f>IF(F46="N/A","N/A",IF(F48&gt;225,"INAKZEPTABLE RAD- LAST","AKZEPTABLE RAD- LAST"))</f>
        <v>AKZEPTABLE RAD- LAST</v>
      </c>
      <c r="G50" s="71"/>
      <c r="H50" s="71" t="str">
        <f>IF(H46="N/A","N/A",IF(H48&gt;225,"INAKZEPTABLE RAD- LAST","AKZEPTABLE RAD- LAST"))</f>
        <v>AKZEPTABLE RAD- LAST</v>
      </c>
      <c r="I50" s="71"/>
    </row>
    <row r="51" spans="1:9" ht="12">
      <c r="A51" s="72"/>
      <c r="B51" s="72"/>
      <c r="C51" s="72"/>
      <c r="D51" s="71"/>
      <c r="E51" s="71"/>
      <c r="F51" s="71"/>
      <c r="G51" s="71"/>
      <c r="H51" s="71"/>
      <c r="I51" s="71"/>
    </row>
    <row r="52" spans="1:9" ht="14.25">
      <c r="A52" s="92"/>
      <c r="B52" s="73" t="s">
        <v>60</v>
      </c>
      <c r="C52" s="73"/>
      <c r="D52" s="73"/>
      <c r="E52" s="73"/>
      <c r="F52" s="73"/>
      <c r="G52" s="73"/>
      <c r="H52" s="73"/>
      <c r="I52" s="73"/>
    </row>
    <row r="53" spans="1:9" ht="12">
      <c r="A53" s="72"/>
      <c r="B53" s="74" t="s">
        <v>39</v>
      </c>
      <c r="C53" s="75"/>
      <c r="D53" s="76" t="str">
        <f>IF($E$16&gt;60.82,"HYDRAULIC ONLY",IF($E$16&gt;18.28,"WRG GEARBOX","BG/WRG G/BOX"))</f>
        <v>BG/WRG G/BOX</v>
      </c>
      <c r="E53" s="76"/>
      <c r="F53" s="76" t="str">
        <f>IF($E$16&gt;60.82,"HYDRAULIC ONLY",IF($E$16&gt;18.28,"WRG GEARBOX","BG/WRG G/BOX"))</f>
        <v>BG/WRG G/BOX</v>
      </c>
      <c r="G53" s="76"/>
      <c r="H53" s="76" t="str">
        <f>IF($E$16&gt;60.82,"HYDRAULIC ONLY",IF($E$16&gt;18.28,"WRG GEARBOX","BG/WRG G/BOX"))</f>
        <v>BG/WRG G/BOX</v>
      </c>
      <c r="I53" s="76"/>
    </row>
    <row r="54" spans="1:9" ht="12">
      <c r="A54" s="72"/>
      <c r="B54" s="80" t="s">
        <v>43</v>
      </c>
      <c r="C54" s="78"/>
      <c r="D54" s="58">
        <v>406</v>
      </c>
      <c r="E54" s="81" t="s">
        <v>44</v>
      </c>
      <c r="F54" s="58">
        <v>406</v>
      </c>
      <c r="G54" s="81" t="s">
        <v>44</v>
      </c>
      <c r="H54" s="58">
        <v>406</v>
      </c>
      <c r="I54" s="81" t="s">
        <v>44</v>
      </c>
    </row>
    <row r="55" spans="1:9" ht="12">
      <c r="A55" s="72"/>
      <c r="B55" s="80" t="s">
        <v>61</v>
      </c>
      <c r="C55" s="78"/>
      <c r="D55" s="93" t="str">
        <f>IF(AND($E$16&lt;12.2,$E$25&lt;2452),"WRG10",(IF(AND($E$16&lt;14.02,$E$25&lt;2943),"WRG11/BG12",(IF(AND($E$16&lt;19.81,$E$25&lt;5150),"WRG12",(IF(AND($E$16&lt;18.59,$E$25&lt;4905),"BG30",(IF(AND($E$16&lt;27.43,$E$25&lt;10800),"WRG18",(IF(AND($E$16&lt;33.53,$E$25&lt;13700),"WRG20",(IF(AND($E$16&lt;35.97,$E$25&lt;24000),"WRG45","WRG90")))))))))))))</f>
        <v>WRG10</v>
      </c>
      <c r="E55" s="93"/>
      <c r="F55" s="93" t="str">
        <f>IF(D55="WRG10","WRG11/BG12",IF(D55="WRG11/BG12","WRG12",IF(D55="WRG12","BG30",IF(D55="BG30","WRG18",IF(D55="WRG18","WRG20",IF(D55="WRG20","WRG45",IF(D55="WRG45","WRG90","HYDRAULIC")))))))</f>
        <v>WRG11/BG12</v>
      </c>
      <c r="G55" s="93"/>
      <c r="H55" s="93" t="str">
        <f>IF(F55="WRG11/BG12","WRG12",IF(F55="WRG12","BG30",IF(F55="BG30","WRG18",IF(F55="WRG18","WRG20",IF(F55="WRG20","WRG45",IF(F55="WRG45","WRG90","HYDRAULIC"))))))</f>
        <v>WRG12</v>
      </c>
      <c r="I55" s="93"/>
    </row>
    <row r="56" spans="1:9" ht="12">
      <c r="A56" s="72"/>
      <c r="B56" s="80" t="s">
        <v>62</v>
      </c>
      <c r="C56" s="78"/>
      <c r="D56" s="94">
        <f>IF(D55="HYDRAULIC","N/A",(IF(D55="WRG10",4,(IF(D55="WRG11/BG12",5,(IF(D55="WRG12",7,(IF(D55="BG30",6.7,(IF(D55="WRG18",10,(IF(D55="WRG20",12.6,(IF(D55="WRG45",13,65)))))))))))))))</f>
        <v>4</v>
      </c>
      <c r="E56" s="95" t="s">
        <v>57</v>
      </c>
      <c r="F56" s="94">
        <f>IF(F55="HYDRAULIC","N/A",(IF(F55="WRG10",4,(IF(F55="WRG11/BG12",5,(IF(F55="WRG12",7,(IF(F55="BG30",6.7,(IF(F55="WRG18",10,(IF(F55="WRG20",12.6,(IF(F55="WRG45",13,65)))))))))))))))</f>
        <v>5</v>
      </c>
      <c r="G56" s="95" t="s">
        <v>57</v>
      </c>
      <c r="H56" s="94">
        <f>IF(H55="HYDRAULIC","N/A",(IF(H55="WRG10",4,(IF(H55="WRG11/BG12",5,(IF(H55="WRG12",7,(IF(H55="BG30",6.7,(IF(H55="WRG18",10,(IF(H55="WRG20",12.6,(IF(H55="WRG45",13,65)))))))))))))))</f>
        <v>7</v>
      </c>
      <c r="I56" s="95" t="s">
        <v>57</v>
      </c>
    </row>
    <row r="57" spans="1:9" ht="12">
      <c r="A57" s="72"/>
      <c r="B57" s="82" t="s">
        <v>53</v>
      </c>
      <c r="C57" s="78"/>
      <c r="D57" s="83">
        <f>IF(D55="WRG18",186,IF(D55="WRG20",305,IF(D55="WRG45",406,IF(D55="WRG90",400,133.34))))</f>
        <v>133.34</v>
      </c>
      <c r="E57" s="96" t="s">
        <v>44</v>
      </c>
      <c r="F57" s="83">
        <f>IF(F55="WRG18",186,IF(F55="WRG20",305,IF(F55="WRG45",406,IF(F55="WRG90",400,IF(F55="HYDRAULIC","N/A",133.34)))))</f>
        <v>133.34</v>
      </c>
      <c r="G57" s="96" t="s">
        <v>44</v>
      </c>
      <c r="H57" s="83">
        <f>IF(H55="WRG18",186,IF(H55="WRG20",305,IF(H55="WRG45",406,IF(H55="WRG90",400,IF(H55="HYDRAULIC","N/A",133.34)))))</f>
        <v>133.34</v>
      </c>
      <c r="I57" s="84" t="s">
        <v>44</v>
      </c>
    </row>
    <row r="58" spans="1:9" ht="12">
      <c r="A58" s="72"/>
      <c r="B58" s="82" t="s">
        <v>54</v>
      </c>
      <c r="C58" s="78"/>
      <c r="D58" s="83">
        <f>IF(D55="WRG18",286,IF(D55="WRG20",464,IF(D55="WRG45",618,IF(D55="WRG90",630,203.3))))</f>
        <v>203.3</v>
      </c>
      <c r="E58" s="96" t="s">
        <v>44</v>
      </c>
      <c r="F58" s="83">
        <f>IF(F55="WRG18",286,IF(F55="WRG20",464,IF(F55="WRG45",618,IF(F55="WRG90",630,IF(F55="HYDRAULIC","N/A",203.3)))))</f>
        <v>203.3</v>
      </c>
      <c r="G58" s="96" t="s">
        <v>44</v>
      </c>
      <c r="H58" s="83">
        <f>IF(H55="WRG18",286,IF(H55="WRG20",464,IF(H55="WRG45",618,IF(H55="WRG90",630,IF(H55="HYDRAULIC","N/A",203.3)))))</f>
        <v>203.3</v>
      </c>
      <c r="I58" s="84" t="s">
        <v>44</v>
      </c>
    </row>
    <row r="59" spans="1:9" ht="12">
      <c r="A59" s="72"/>
      <c r="B59" s="82" t="s">
        <v>55</v>
      </c>
      <c r="C59" s="78"/>
      <c r="D59" s="85">
        <f>D82/D78</f>
        <v>2.7800702536890713</v>
      </c>
      <c r="E59" s="85"/>
      <c r="F59" s="85">
        <f>IF(F55="HYDRAULIC","N/A",(F82/F78))</f>
        <v>2.7800702536890713</v>
      </c>
      <c r="G59" s="85"/>
      <c r="H59" s="85">
        <f>IF(H55="HYDRAULIC","N/A",(H82/H78))</f>
        <v>2.7800702536890713</v>
      </c>
      <c r="I59" s="85"/>
    </row>
    <row r="60" spans="1:9" ht="12">
      <c r="A60" s="72"/>
      <c r="B60" s="82" t="s">
        <v>58</v>
      </c>
      <c r="C60" s="78"/>
      <c r="D60" s="83">
        <v>36</v>
      </c>
      <c r="E60" s="84" t="s">
        <v>59</v>
      </c>
      <c r="F60" s="83">
        <f>IF(F55="HYDRAULIC","N/A",36)</f>
        <v>36</v>
      </c>
      <c r="G60" s="84" t="s">
        <v>59</v>
      </c>
      <c r="H60" s="83">
        <f>IF(H55="HYDRAULIC","N/A",36)</f>
        <v>36</v>
      </c>
      <c r="I60" s="84" t="s">
        <v>59</v>
      </c>
    </row>
    <row r="61" spans="1:9" ht="12">
      <c r="A61" s="72"/>
      <c r="B61" s="82" t="s">
        <v>50</v>
      </c>
      <c r="C61" s="78"/>
      <c r="D61" s="83">
        <f>($E$25/D59/D56/((D54*0.5/1000)))</f>
        <v>124.90667202026513</v>
      </c>
      <c r="E61" s="84" t="s">
        <v>49</v>
      </c>
      <c r="F61" s="83">
        <f>IF(F55="HYDRAULIC","N/A",($E$25/F59/F56/((F54*0.5/1000))))</f>
        <v>99.9253376162121</v>
      </c>
      <c r="G61" s="84" t="s">
        <v>49</v>
      </c>
      <c r="H61" s="83">
        <f>IF(H55="HYDRAULIC","N/A",($E$25/H59/H56/((H54*0.5/1000))))</f>
        <v>71.37524115443722</v>
      </c>
      <c r="I61" s="84" t="s">
        <v>49</v>
      </c>
    </row>
    <row r="62" spans="1:9" ht="12">
      <c r="A62" s="72"/>
      <c r="B62" s="88" t="s">
        <v>51</v>
      </c>
      <c r="C62" s="89"/>
      <c r="D62" s="90">
        <f>ATAN(D79/D78)/(PI()/180)*D56/180</f>
        <v>1.4146777563895634</v>
      </c>
      <c r="E62" s="90"/>
      <c r="F62" s="90">
        <f>IF(F55="HYDRAULIC","N/A",(ATAN(F79/F78)/(PI()/180)*F56/180))</f>
        <v>1.768347195486954</v>
      </c>
      <c r="G62" s="90"/>
      <c r="H62" s="90">
        <f>IF(H55="HYDRAULIC","N/A",(ATAN(H79/H78)/(PI()/180)*H56/180))</f>
        <v>2.475686073681736</v>
      </c>
      <c r="I62" s="90"/>
    </row>
    <row r="63" spans="1:9" ht="12">
      <c r="A63" s="72"/>
      <c r="B63" s="72"/>
      <c r="C63" s="72"/>
      <c r="D63" s="71" t="str">
        <f>IF(D61&gt;225,"INAKZEPTABLE RAD- LAST","AKZEPTABLE RAD- LAST")</f>
        <v>AKZEPTABLE RAD- LAST</v>
      </c>
      <c r="E63" s="71"/>
      <c r="F63" s="71" t="str">
        <f>IF(F61&gt;225,"INAKZEPTABLE RAD- LAST","AKZEPTABLE RAD- LAST")</f>
        <v>AKZEPTABLE RAD- LAST</v>
      </c>
      <c r="G63" s="71"/>
      <c r="H63" s="71" t="str">
        <f>IF(H61&gt;225,"INAKZEPTABLE RAD- LAST","AKZEPTABLE RAD- LAST")</f>
        <v>AKZEPTABLE RAD- LAST</v>
      </c>
      <c r="I63" s="71"/>
    </row>
    <row r="64" spans="1:9" ht="12">
      <c r="A64" s="72"/>
      <c r="B64" s="72"/>
      <c r="C64" s="72"/>
      <c r="D64" s="71"/>
      <c r="E64" s="71"/>
      <c r="F64" s="71"/>
      <c r="G64" s="71"/>
      <c r="H64" s="71"/>
      <c r="I64" s="71"/>
    </row>
    <row r="65" spans="1:9" ht="12">
      <c r="A65" s="14"/>
      <c r="B65" s="14"/>
      <c r="C65" s="14"/>
      <c r="D65" s="97" t="str">
        <f>IF(D63="INAKZEPTABLE RAD- LAST","ERWÄGEN SIE DEN EINSATZ EINER SERVO- STEUERUNG"," ")</f>
        <v> </v>
      </c>
      <c r="E65" s="97"/>
      <c r="F65" s="97" t="str">
        <f>IF(F63="INAKZEPTABLE RAD- LAST","ERWÄGEN SIE DEN EINSATZ EINER SERVO- STEUERUNG"," ")</f>
        <v> </v>
      </c>
      <c r="G65" s="97"/>
      <c r="H65" s="97" t="str">
        <f>IF(H63="INAKZEPTABLE RAD- LAST","ERWÄGEN SIE DEN EINSATZ EINER SERVO- STEUERUNG"," ")</f>
        <v> </v>
      </c>
      <c r="I65" s="97"/>
    </row>
    <row r="66" spans="1:9" ht="12">
      <c r="A66" s="14"/>
      <c r="B66" s="14"/>
      <c r="C66" s="14"/>
      <c r="D66" s="97"/>
      <c r="E66" s="97"/>
      <c r="F66" s="97"/>
      <c r="G66" s="97"/>
      <c r="H66" s="97"/>
      <c r="I66" s="97"/>
    </row>
    <row r="67" spans="1:9" ht="12.75" hidden="1">
      <c r="A67" s="14"/>
      <c r="B67" s="98" t="s">
        <v>63</v>
      </c>
      <c r="C67" s="14"/>
      <c r="D67" s="99"/>
      <c r="E67" s="99"/>
      <c r="F67" s="99"/>
      <c r="G67" s="99"/>
      <c r="H67" s="99"/>
      <c r="I67" s="99"/>
    </row>
    <row r="68" spans="1:9" ht="12.75" hidden="1">
      <c r="A68" s="14"/>
      <c r="B68" s="100" t="s">
        <v>64</v>
      </c>
      <c r="C68" s="98"/>
      <c r="D68" s="98">
        <f>D43/25.4</f>
        <v>5.249606299212599</v>
      </c>
      <c r="E68" s="98"/>
      <c r="F68" s="98">
        <f>F43/25.4</f>
        <v>5.249606299212599</v>
      </c>
      <c r="G68" s="98"/>
      <c r="H68" s="98">
        <f>H43/25.4</f>
        <v>5.249606299212599</v>
      </c>
      <c r="I68" s="101"/>
    </row>
    <row r="69" spans="1:9" ht="12.75" hidden="1">
      <c r="A69" s="14"/>
      <c r="B69" s="98" t="s">
        <v>65</v>
      </c>
      <c r="C69" s="98"/>
      <c r="D69" s="98">
        <f>SQRT((D68*D68)-(D70*D70))</f>
        <v>2.3291933190120235</v>
      </c>
      <c r="E69" s="98"/>
      <c r="F69" s="98">
        <f>SQRT((F68*F68)-(F70*F70))</f>
        <v>2.3291933190120235</v>
      </c>
      <c r="G69" s="98"/>
      <c r="H69" s="98">
        <f>SQRT((H68*H68)-(H70*H70))</f>
        <v>2.3291933190120235</v>
      </c>
      <c r="I69" s="101"/>
    </row>
    <row r="70" spans="1:9" ht="12.75" hidden="1">
      <c r="A70" s="14"/>
      <c r="B70" s="98" t="s">
        <v>66</v>
      </c>
      <c r="C70" s="98"/>
      <c r="D70" s="98">
        <f>D74</f>
        <v>4.704596133506292</v>
      </c>
      <c r="E70" s="98"/>
      <c r="F70" s="98">
        <f>F74</f>
        <v>4.704596133506292</v>
      </c>
      <c r="G70" s="98"/>
      <c r="H70" s="98">
        <f>H74</f>
        <v>4.704596133506292</v>
      </c>
      <c r="I70" s="101"/>
    </row>
    <row r="71" spans="1:9" ht="12.75" hidden="1">
      <c r="A71" s="14"/>
      <c r="B71" s="98"/>
      <c r="C71" s="98"/>
      <c r="D71" s="98"/>
      <c r="E71" s="98"/>
      <c r="F71" s="98"/>
      <c r="G71" s="98"/>
      <c r="H71" s="98"/>
      <c r="I71" s="101"/>
    </row>
    <row r="72" spans="1:9" ht="12.75" hidden="1">
      <c r="A72" s="14"/>
      <c r="B72" s="98" t="s">
        <v>67</v>
      </c>
      <c r="C72" s="98"/>
      <c r="D72" s="98">
        <f>D44/25.4</f>
        <v>8.003937007874017</v>
      </c>
      <c r="E72" s="98"/>
      <c r="F72" s="98">
        <f>F44/25.4</f>
        <v>8.003937007874017</v>
      </c>
      <c r="G72" s="98"/>
      <c r="H72" s="98">
        <f>H44/25.4</f>
        <v>8.003937007874017</v>
      </c>
      <c r="I72" s="101"/>
    </row>
    <row r="73" spans="1:9" ht="12.75" hidden="1">
      <c r="A73" s="14"/>
      <c r="B73" s="98" t="s">
        <v>68</v>
      </c>
      <c r="C73" s="98"/>
      <c r="D73" s="98">
        <f>SQRT((D72*D72)-(D74*D74))</f>
        <v>6.475321061276646</v>
      </c>
      <c r="E73" s="98"/>
      <c r="F73" s="98">
        <f>SQRT((F72*F72)-(F74*F74))</f>
        <v>6.475321061276646</v>
      </c>
      <c r="G73" s="98"/>
      <c r="H73" s="98">
        <f>SQRT((H72*H72)-(H74*H74))</f>
        <v>6.475321061276646</v>
      </c>
      <c r="I73" s="101"/>
    </row>
    <row r="74" spans="1:9" ht="12.75" hidden="1">
      <c r="A74" s="14"/>
      <c r="B74" s="98" t="s">
        <v>66</v>
      </c>
      <c r="C74" s="98"/>
      <c r="D74" s="98">
        <f>SIN(D47*PI()/180)*D72</f>
        <v>4.704596133506292</v>
      </c>
      <c r="E74" s="98"/>
      <c r="F74" s="98">
        <f>SIN(F47*PI()/180)*F72</f>
        <v>4.704596133506292</v>
      </c>
      <c r="G74" s="98"/>
      <c r="H74" s="98">
        <f>SIN(H47*PI()/180)*H72</f>
        <v>4.704596133506292</v>
      </c>
      <c r="I74" s="101"/>
    </row>
    <row r="75" spans="1:9" ht="12.75" hidden="1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75" hidden="1">
      <c r="A76" s="14"/>
      <c r="B76" s="102" t="s">
        <v>69</v>
      </c>
      <c r="C76" s="14"/>
      <c r="D76" s="14"/>
      <c r="E76" s="14"/>
      <c r="F76" s="14"/>
      <c r="G76" s="14"/>
      <c r="H76" s="14"/>
      <c r="I76" s="14"/>
    </row>
    <row r="77" spans="1:9" ht="12.75" hidden="1">
      <c r="A77" s="14"/>
      <c r="B77" s="103" t="s">
        <v>64</v>
      </c>
      <c r="C77" s="102"/>
      <c r="D77" s="102">
        <f>D57/25.4</f>
        <v>5.249606299212599</v>
      </c>
      <c r="E77" s="102"/>
      <c r="F77" s="102">
        <f>F57/25.4</f>
        <v>5.249606299212599</v>
      </c>
      <c r="G77" s="102"/>
      <c r="H77" s="102">
        <f>H57/25.4</f>
        <v>5.249606299212599</v>
      </c>
      <c r="I77" s="101"/>
    </row>
    <row r="78" spans="1:9" ht="12.75" hidden="1">
      <c r="A78" s="14"/>
      <c r="B78" s="102" t="s">
        <v>65</v>
      </c>
      <c r="C78" s="102"/>
      <c r="D78" s="102">
        <f>SQRT((D77*D77)-(D79*D79))</f>
        <v>2.3291933190120235</v>
      </c>
      <c r="E78" s="102"/>
      <c r="F78" s="102">
        <f>SQRT((F77*F77)-(F79*F79))</f>
        <v>2.3291933190120235</v>
      </c>
      <c r="G78" s="102"/>
      <c r="H78" s="102">
        <f>SQRT((H77*H77)-(H79*H79))</f>
        <v>2.3291933190120235</v>
      </c>
      <c r="I78" s="101"/>
    </row>
    <row r="79" spans="1:9" ht="12.75" hidden="1">
      <c r="A79" s="14"/>
      <c r="B79" s="102" t="s">
        <v>66</v>
      </c>
      <c r="C79" s="102"/>
      <c r="D79" s="102">
        <f>D83</f>
        <v>4.704596133506292</v>
      </c>
      <c r="E79" s="102"/>
      <c r="F79" s="102">
        <f>F83</f>
        <v>4.704596133506292</v>
      </c>
      <c r="G79" s="102"/>
      <c r="H79" s="102">
        <f>H83</f>
        <v>4.704596133506292</v>
      </c>
      <c r="I79" s="101"/>
    </row>
    <row r="80" spans="1:9" ht="12.75" hidden="1">
      <c r="A80" s="14"/>
      <c r="B80" s="102"/>
      <c r="C80" s="102"/>
      <c r="D80" s="102"/>
      <c r="E80" s="102"/>
      <c r="F80" s="102"/>
      <c r="G80" s="102"/>
      <c r="H80" s="102"/>
      <c r="I80" s="101"/>
    </row>
    <row r="81" spans="1:9" ht="12.75" hidden="1">
      <c r="A81" s="14"/>
      <c r="B81" s="102" t="s">
        <v>67</v>
      </c>
      <c r="C81" s="102"/>
      <c r="D81" s="102">
        <f>D58/25.4</f>
        <v>8.003937007874017</v>
      </c>
      <c r="E81" s="102"/>
      <c r="F81" s="102">
        <f>F58/25.4</f>
        <v>8.003937007874017</v>
      </c>
      <c r="G81" s="102"/>
      <c r="H81" s="102">
        <f>H58/25.4</f>
        <v>8.003937007874017</v>
      </c>
      <c r="I81" s="101"/>
    </row>
    <row r="82" spans="1:9" ht="12.75" hidden="1">
      <c r="A82" s="14"/>
      <c r="B82" s="102" t="s">
        <v>68</v>
      </c>
      <c r="C82" s="102"/>
      <c r="D82" s="102">
        <f>SQRT((D81*D81)-(D83*D83))</f>
        <v>6.475321061276646</v>
      </c>
      <c r="E82" s="102"/>
      <c r="F82" s="102">
        <f>SQRT((F81*F81)-(F83*F83))</f>
        <v>6.475321061276646</v>
      </c>
      <c r="G82" s="102"/>
      <c r="H82" s="102">
        <f>SQRT((H81*H81)-(H83*H83))</f>
        <v>6.475321061276646</v>
      </c>
      <c r="I82" s="101"/>
    </row>
    <row r="83" spans="1:9" ht="12.75" hidden="1">
      <c r="A83" s="14"/>
      <c r="B83" s="102" t="s">
        <v>66</v>
      </c>
      <c r="C83" s="102"/>
      <c r="D83" s="102">
        <f>SIN(D60*PI()/180)*D81</f>
        <v>4.704596133506292</v>
      </c>
      <c r="E83" s="102"/>
      <c r="F83" s="102">
        <f>SIN(F60*PI()/180)*F81</f>
        <v>4.704596133506292</v>
      </c>
      <c r="G83" s="102"/>
      <c r="H83" s="102">
        <f>SIN(H60*PI()/180)*H81</f>
        <v>4.704596133506292</v>
      </c>
      <c r="I83" s="101"/>
    </row>
    <row r="96" ht="19.5" customHeight="1"/>
    <row r="98" ht="3" customHeight="1"/>
    <row r="104" ht="6" customHeight="1"/>
    <row r="105" s="5" customFormat="1" ht="19.5" customHeight="1"/>
  </sheetData>
  <mergeCells count="54">
    <mergeCell ref="B7:I7"/>
    <mergeCell ref="B9:I9"/>
    <mergeCell ref="H13:I13"/>
    <mergeCell ref="B15:C15"/>
    <mergeCell ref="E15:F15"/>
    <mergeCell ref="H15:I15"/>
    <mergeCell ref="B27:I27"/>
    <mergeCell ref="D28:E28"/>
    <mergeCell ref="F28:G28"/>
    <mergeCell ref="H28:I28"/>
    <mergeCell ref="D32:E32"/>
    <mergeCell ref="F32:G32"/>
    <mergeCell ref="H32:I32"/>
    <mergeCell ref="D36:E36"/>
    <mergeCell ref="F36:G36"/>
    <mergeCell ref="H36:I36"/>
    <mergeCell ref="D37:E38"/>
    <mergeCell ref="F37:G38"/>
    <mergeCell ref="H37:I38"/>
    <mergeCell ref="B39:I39"/>
    <mergeCell ref="D40:E40"/>
    <mergeCell ref="F40:G40"/>
    <mergeCell ref="H40:I40"/>
    <mergeCell ref="D41:E41"/>
    <mergeCell ref="F41:G41"/>
    <mergeCell ref="H41:I41"/>
    <mergeCell ref="D45:E45"/>
    <mergeCell ref="F45:G45"/>
    <mergeCell ref="H45:I45"/>
    <mergeCell ref="D49:E49"/>
    <mergeCell ref="F49:G49"/>
    <mergeCell ref="H49:I49"/>
    <mergeCell ref="D50:E51"/>
    <mergeCell ref="F50:G51"/>
    <mergeCell ref="H50:I51"/>
    <mergeCell ref="B52:I52"/>
    <mergeCell ref="D53:E53"/>
    <mergeCell ref="F53:G53"/>
    <mergeCell ref="H53:I53"/>
    <mergeCell ref="D55:E55"/>
    <mergeCell ref="F55:G55"/>
    <mergeCell ref="H55:I55"/>
    <mergeCell ref="D59:E59"/>
    <mergeCell ref="F59:G59"/>
    <mergeCell ref="H59:I59"/>
    <mergeCell ref="D62:E62"/>
    <mergeCell ref="F62:G62"/>
    <mergeCell ref="H62:I62"/>
    <mergeCell ref="D63:E64"/>
    <mergeCell ref="F63:G64"/>
    <mergeCell ref="H63:I64"/>
    <mergeCell ref="D65:E66"/>
    <mergeCell ref="F65:G66"/>
    <mergeCell ref="H65:I66"/>
  </mergeCells>
  <printOptions horizontalCentered="1"/>
  <pageMargins left="0.39375" right="0.39375" top="0.39375" bottom="0.39375" header="0.5118055555555555" footer="0.39375"/>
  <pageSetup fitToHeight="1" fitToWidth="1" horizontalDpi="300" verticalDpi="300" orientation="portrait" paperSize="9"/>
  <headerFooter alignWithMargins="0">
    <oddFooter>&amp;R&amp;D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showGridLines="0" view="pageBreakPreview" zoomScaleNormal="75" zoomScaleSheetLayoutView="100" workbookViewId="0" topLeftCell="A1">
      <selection activeCell="E17" sqref="E17"/>
    </sheetView>
  </sheetViews>
  <sheetFormatPr defaultColWidth="8.00390625" defaultRowHeight="12.75"/>
  <cols>
    <col min="1" max="1" width="2.8515625" style="1" customWidth="1"/>
    <col min="2" max="2" width="22.7109375" style="1" customWidth="1"/>
    <col min="3" max="7" width="10.57421875" style="1" customWidth="1"/>
    <col min="8" max="9" width="10.7109375" style="1" customWidth="1"/>
    <col min="10" max="16384" width="7.7109375" style="1" customWidth="1"/>
  </cols>
  <sheetData>
    <row r="1" ht="12">
      <c r="I1" s="2" t="s">
        <v>70</v>
      </c>
    </row>
    <row r="3" ht="18" customHeight="1"/>
    <row r="4" ht="18" customHeight="1"/>
    <row r="5" spans="2:9" ht="12">
      <c r="B5" s="3" t="s">
        <v>71</v>
      </c>
      <c r="C5" s="3"/>
      <c r="D5" s="3"/>
      <c r="E5" s="3"/>
      <c r="F5" s="3"/>
      <c r="G5" s="3"/>
      <c r="H5" s="3"/>
      <c r="I5" s="3"/>
    </row>
    <row r="6" spans="2:9" ht="6" customHeight="1">
      <c r="B6" s="2"/>
      <c r="C6" s="2"/>
      <c r="D6" s="2"/>
      <c r="E6" s="2"/>
      <c r="F6" s="2"/>
      <c r="G6" s="2"/>
      <c r="H6" s="2"/>
      <c r="I6" s="2"/>
    </row>
    <row r="7" spans="2:9" ht="24">
      <c r="B7" s="4" t="s">
        <v>72</v>
      </c>
      <c r="C7" s="4"/>
      <c r="D7" s="4"/>
      <c r="E7" s="4"/>
      <c r="F7" s="4"/>
      <c r="G7" s="4"/>
      <c r="H7" s="4"/>
      <c r="I7" s="4"/>
    </row>
    <row r="8" ht="6" customHeight="1"/>
    <row r="9" spans="2:9" s="5" customFormat="1" ht="19.5" customHeight="1">
      <c r="B9" s="6" t="s">
        <v>73</v>
      </c>
      <c r="C9" s="7" t="s">
        <v>74</v>
      </c>
      <c r="D9" s="8"/>
      <c r="E9" s="8"/>
      <c r="F9" s="8"/>
      <c r="G9" s="8"/>
      <c r="H9" s="8"/>
      <c r="I9" s="8"/>
    </row>
    <row r="10" spans="2:9" s="5" customFormat="1" ht="19.5" customHeight="1">
      <c r="B10" s="6"/>
      <c r="C10" s="9"/>
      <c r="D10" s="10"/>
      <c r="E10" s="10"/>
      <c r="F10" s="10"/>
      <c r="G10" s="10"/>
      <c r="H10" s="10"/>
      <c r="I10" s="10"/>
    </row>
    <row r="11" spans="2:9" s="5" customFormat="1" ht="19.5" customHeight="1">
      <c r="B11" s="6" t="s">
        <v>75</v>
      </c>
      <c r="C11" s="7" t="s">
        <v>76</v>
      </c>
      <c r="D11" s="8"/>
      <c r="E11" s="8"/>
      <c r="F11" s="8"/>
      <c r="G11" s="6" t="s">
        <v>77</v>
      </c>
      <c r="H11" s="11"/>
      <c r="I11" s="11"/>
    </row>
    <row r="12" spans="4:9" s="5" customFormat="1" ht="7.5" customHeight="1">
      <c r="D12" s="12"/>
      <c r="E12" s="12"/>
      <c r="F12" s="12"/>
      <c r="G12" s="12"/>
      <c r="H12" s="12"/>
      <c r="I12" s="12"/>
    </row>
    <row r="13" spans="2:9" ht="19.5" customHeight="1">
      <c r="B13" s="13" t="s">
        <v>78</v>
      </c>
      <c r="C13" s="13"/>
      <c r="D13" s="14"/>
      <c r="E13" s="13" t="s">
        <v>8</v>
      </c>
      <c r="F13" s="13"/>
      <c r="G13" s="14"/>
      <c r="H13" s="104" t="s">
        <v>79</v>
      </c>
      <c r="I13" s="104"/>
    </row>
    <row r="14" spans="2:9" ht="19.5" customHeight="1">
      <c r="B14" s="105" t="s">
        <v>80</v>
      </c>
      <c r="C14" s="18" t="s">
        <v>10</v>
      </c>
      <c r="D14" s="19"/>
      <c r="E14" s="106">
        <v>42.5</v>
      </c>
      <c r="F14" s="107" t="s">
        <v>12</v>
      </c>
      <c r="G14" s="19"/>
      <c r="H14" s="108">
        <f>SUM(E14/3.28084)</f>
        <v>12.953999585472014</v>
      </c>
      <c r="I14" s="109" t="s">
        <v>81</v>
      </c>
    </row>
    <row r="15" spans="2:9" ht="19.5" customHeight="1">
      <c r="B15" s="105" t="s">
        <v>82</v>
      </c>
      <c r="C15" s="18" t="s">
        <v>14</v>
      </c>
      <c r="D15" s="19"/>
      <c r="E15" s="106">
        <v>38.5</v>
      </c>
      <c r="F15" s="107" t="s">
        <v>12</v>
      </c>
      <c r="G15" s="19"/>
      <c r="H15" s="108">
        <f>SUM(E15/3.28084)</f>
        <v>11.734799624486412</v>
      </c>
      <c r="I15" s="109" t="s">
        <v>81</v>
      </c>
    </row>
    <row r="16" spans="2:9" ht="19.5" customHeight="1">
      <c r="B16" s="105" t="s">
        <v>83</v>
      </c>
      <c r="C16" s="18" t="s">
        <v>16</v>
      </c>
      <c r="D16" s="19"/>
      <c r="E16" s="106">
        <v>19200</v>
      </c>
      <c r="F16" s="107" t="s">
        <v>18</v>
      </c>
      <c r="G16" s="19"/>
      <c r="H16" s="25">
        <f>IF(E16="n/a","n/a",(E16/2.2046))</f>
        <v>8709.062868547582</v>
      </c>
      <c r="I16" s="109" t="s">
        <v>84</v>
      </c>
    </row>
    <row r="17" spans="2:9" ht="19.5" customHeight="1">
      <c r="B17" s="105" t="s">
        <v>85</v>
      </c>
      <c r="C17" s="18" t="s">
        <v>20</v>
      </c>
      <c r="D17" s="19"/>
      <c r="E17" s="110">
        <f>IF(E16="n/a","n/a",((E16/2240)/POWER(0.01*E15,3)))</f>
        <v>150.20037669002804</v>
      </c>
      <c r="F17" s="21"/>
      <c r="G17" s="19"/>
      <c r="H17" s="25">
        <f>IF(E16="n/a","n/a",((E16/2240)/POWER(0.01*E15,3)))</f>
        <v>150.20037669002804</v>
      </c>
      <c r="I17" s="109"/>
    </row>
    <row r="18" spans="2:9" ht="19.5" customHeight="1">
      <c r="B18" s="111" t="s">
        <v>86</v>
      </c>
      <c r="C18" s="29" t="s">
        <v>22</v>
      </c>
      <c r="D18" s="30"/>
      <c r="E18" s="106">
        <v>5.41</v>
      </c>
      <c r="F18" s="107" t="s">
        <v>12</v>
      </c>
      <c r="G18" s="30"/>
      <c r="H18" s="112">
        <f>SUM(E18/3.28084)</f>
        <v>1.6489679472330256</v>
      </c>
      <c r="I18" s="109" t="s">
        <v>81</v>
      </c>
    </row>
    <row r="19" spans="2:9" ht="19.5" customHeight="1">
      <c r="B19" s="111" t="s">
        <v>87</v>
      </c>
      <c r="C19" s="29" t="s">
        <v>24</v>
      </c>
      <c r="D19" s="30"/>
      <c r="E19" s="106">
        <v>2.39</v>
      </c>
      <c r="F19" s="107" t="s">
        <v>12</v>
      </c>
      <c r="G19" s="30"/>
      <c r="H19" s="112">
        <f>SUM(E19/3.28084)</f>
        <v>0.7284719766888967</v>
      </c>
      <c r="I19" s="109" t="s">
        <v>81</v>
      </c>
    </row>
    <row r="20" spans="2:9" ht="19.5" customHeight="1">
      <c r="B20" s="111" t="s">
        <v>88</v>
      </c>
      <c r="C20" s="29" t="s">
        <v>26</v>
      </c>
      <c r="D20" s="30"/>
      <c r="E20" s="113">
        <f>SUM(E18*E19)</f>
        <v>12.929900000000002</v>
      </c>
      <c r="F20" s="114" t="s">
        <v>28</v>
      </c>
      <c r="G20" s="34"/>
      <c r="H20" s="112">
        <f>SUM(E20*0.0929)</f>
        <v>1.2011877100000001</v>
      </c>
      <c r="I20" s="115" t="s">
        <v>89</v>
      </c>
    </row>
    <row r="21" spans="2:9" ht="19.5" customHeight="1">
      <c r="B21" s="111" t="s">
        <v>90</v>
      </c>
      <c r="C21" s="37"/>
      <c r="D21" s="30"/>
      <c r="E21" s="106">
        <v>0.525</v>
      </c>
      <c r="F21" s="107" t="s">
        <v>12</v>
      </c>
      <c r="G21" s="30"/>
      <c r="H21" s="112">
        <f>SUM(E21/3.28084)</f>
        <v>0.16001999487936017</v>
      </c>
      <c r="I21" s="109" t="s">
        <v>81</v>
      </c>
    </row>
    <row r="22" spans="2:9" ht="19.5" customHeight="1">
      <c r="B22" s="105" t="s">
        <v>91</v>
      </c>
      <c r="C22" s="18" t="s">
        <v>31</v>
      </c>
      <c r="D22" s="39"/>
      <c r="E22" s="116">
        <f>(1.34*(SQRT(E15)))</f>
        <v>8.314481342813874</v>
      </c>
      <c r="F22" s="107" t="s">
        <v>33</v>
      </c>
      <c r="G22" s="19"/>
      <c r="H22" s="117">
        <f>E22</f>
        <v>8.314481342813874</v>
      </c>
      <c r="I22" s="109" t="s">
        <v>33</v>
      </c>
    </row>
    <row r="23" spans="2:11" ht="19.5" customHeight="1">
      <c r="B23" s="118" t="s">
        <v>92</v>
      </c>
      <c r="C23" s="43" t="s">
        <v>35</v>
      </c>
      <c r="D23" s="39"/>
      <c r="E23" s="119">
        <f>SUM(H23*0.7376)</f>
        <v>686.4900729407036</v>
      </c>
      <c r="F23" s="120" t="s">
        <v>93</v>
      </c>
      <c r="G23" s="19"/>
      <c r="H23" s="121">
        <f>SUM(H20*((0.4*H19)-H21)*(H22*H22)*8.7)*9.80665</f>
        <v>930.7077995399994</v>
      </c>
      <c r="I23" s="122" t="s">
        <v>36</v>
      </c>
      <c r="K23" s="123"/>
    </row>
    <row r="24" ht="6" customHeight="1"/>
    <row r="25" spans="2:9" ht="21.75" customHeight="1">
      <c r="B25" s="48" t="s">
        <v>38</v>
      </c>
      <c r="C25" s="48"/>
      <c r="D25" s="48"/>
      <c r="E25" s="48"/>
      <c r="F25" s="48"/>
      <c r="G25" s="48"/>
      <c r="H25" s="48"/>
      <c r="I25" s="48"/>
    </row>
    <row r="26" spans="2:9" ht="12">
      <c r="B26" s="124" t="s">
        <v>94</v>
      </c>
      <c r="C26" s="50"/>
      <c r="D26" s="51" t="s">
        <v>40</v>
      </c>
      <c r="E26" s="51"/>
      <c r="F26" s="51" t="s">
        <v>41</v>
      </c>
      <c r="G26" s="51"/>
      <c r="H26" s="51" t="s">
        <v>42</v>
      </c>
      <c r="I26" s="51"/>
    </row>
    <row r="27" spans="2:9" ht="3" customHeight="1">
      <c r="B27" s="125"/>
      <c r="C27" s="53"/>
      <c r="D27" s="54"/>
      <c r="E27" s="55"/>
      <c r="F27" s="54"/>
      <c r="G27" s="55"/>
      <c r="H27" s="54"/>
      <c r="I27" s="55"/>
    </row>
    <row r="28" spans="2:9" ht="12.75">
      <c r="B28" s="126" t="s">
        <v>95</v>
      </c>
      <c r="C28" s="57"/>
      <c r="D28" s="127">
        <v>16</v>
      </c>
      <c r="E28" s="128" t="s">
        <v>96</v>
      </c>
      <c r="F28" s="127">
        <v>16</v>
      </c>
      <c r="G28" s="128" t="s">
        <v>96</v>
      </c>
      <c r="H28" s="127">
        <v>16</v>
      </c>
      <c r="I28" s="128" t="s">
        <v>96</v>
      </c>
    </row>
    <row r="29" spans="2:9" ht="12.75">
      <c r="B29" s="126" t="s">
        <v>97</v>
      </c>
      <c r="C29" s="57"/>
      <c r="D29" s="129">
        <v>0.625</v>
      </c>
      <c r="E29" s="130" t="s">
        <v>96</v>
      </c>
      <c r="F29" s="129">
        <v>0.625</v>
      </c>
      <c r="G29" s="130" t="s">
        <v>96</v>
      </c>
      <c r="H29" s="129">
        <v>0.625</v>
      </c>
      <c r="I29" s="130" t="s">
        <v>96</v>
      </c>
    </row>
    <row r="30" spans="2:9" ht="12.75" customHeight="1">
      <c r="B30" s="131" t="s">
        <v>98</v>
      </c>
      <c r="C30" s="63"/>
      <c r="D30" s="132">
        <v>11</v>
      </c>
      <c r="E30" s="132"/>
      <c r="F30" s="132">
        <v>13</v>
      </c>
      <c r="G30" s="132"/>
      <c r="H30" s="132">
        <v>11</v>
      </c>
      <c r="I30" s="132"/>
    </row>
    <row r="31" spans="2:9" ht="12.75">
      <c r="B31" s="126" t="s">
        <v>99</v>
      </c>
      <c r="C31" s="57"/>
      <c r="D31" s="133">
        <v>15</v>
      </c>
      <c r="E31" s="128" t="s">
        <v>96</v>
      </c>
      <c r="F31" s="133">
        <v>20</v>
      </c>
      <c r="G31" s="128" t="s">
        <v>96</v>
      </c>
      <c r="H31" s="133">
        <v>22</v>
      </c>
      <c r="I31" s="128" t="s">
        <v>96</v>
      </c>
    </row>
    <row r="32" spans="2:9" ht="12.75">
      <c r="B32" s="126" t="s">
        <v>100</v>
      </c>
      <c r="C32" s="53"/>
      <c r="D32" s="134">
        <f>($E$23/($D$31/12))</f>
        <v>549.1920583525629</v>
      </c>
      <c r="E32" s="135" t="s">
        <v>101</v>
      </c>
      <c r="F32" s="134">
        <f>($E$23/($F$31/12))</f>
        <v>411.8940437644221</v>
      </c>
      <c r="G32" s="135" t="s">
        <v>101</v>
      </c>
      <c r="H32" s="134">
        <f>($E$23/($H$31/12))</f>
        <v>374.44913069492924</v>
      </c>
      <c r="I32" s="135" t="s">
        <v>101</v>
      </c>
    </row>
    <row r="33" spans="2:9" ht="12.75">
      <c r="B33" s="126" t="s">
        <v>102</v>
      </c>
      <c r="C33" s="53"/>
      <c r="D33" s="134">
        <f>(D32/((0.5*D28)/(D29*D30/(2*PI()))))</f>
        <v>75.11507333826977</v>
      </c>
      <c r="E33" s="135" t="s">
        <v>101</v>
      </c>
      <c r="F33" s="134">
        <f>(F32/((0.5*F28)/(F29*F30/(2*PI()))))</f>
        <v>66.57926954983003</v>
      </c>
      <c r="G33" s="135" t="s">
        <v>101</v>
      </c>
      <c r="H33" s="134">
        <f>H32/((0.5*H28)/(H29*H30/(2*PI())))</f>
        <v>51.21482273063848</v>
      </c>
      <c r="I33" s="135" t="s">
        <v>101</v>
      </c>
    </row>
    <row r="34" spans="2:9" ht="12.75">
      <c r="B34" s="136" t="s">
        <v>103</v>
      </c>
      <c r="C34" s="69"/>
      <c r="D34" s="137">
        <f>2*PI()*D31/(D29*D30)*(72/360)</f>
        <v>2.7417535885874558</v>
      </c>
      <c r="E34" s="137"/>
      <c r="F34" s="137">
        <f>2*PI()*F31/(F29*F30)*(72/360)</f>
        <v>3.0932604589191808</v>
      </c>
      <c r="G34" s="137"/>
      <c r="H34" s="137">
        <f>2*PI()*H31/(H29*H30)*(72/360)</f>
        <v>4.021238596594935</v>
      </c>
      <c r="I34" s="137"/>
    </row>
    <row r="35" spans="2:9" ht="12.75">
      <c r="B35" s="14"/>
      <c r="C35" s="14"/>
      <c r="D35" s="71" t="str">
        <f>IF(D33&gt;51,"UNACCEPTABLE RIM LOADS","ACCEPTABLE RIM LOAD")</f>
        <v>UNACCEPTABLE RIM LOADS</v>
      </c>
      <c r="E35" s="71"/>
      <c r="F35" s="71" t="str">
        <f>IF(F33&gt;51,"UNACCEPTABLE RIM LOADS","ACCEPTABLE RIM LOAD")</f>
        <v>UNACCEPTABLE RIM LOADS</v>
      </c>
      <c r="G35" s="71"/>
      <c r="H35" s="71" t="str">
        <f>IF(H33&gt;51,"UNACCEPTABLE RIM LOADS","ACCEPTABLE RIM LOAD")</f>
        <v>UNACCEPTABLE RIM LOADS</v>
      </c>
      <c r="I35" s="71"/>
    </row>
    <row r="36" spans="4:9" ht="15" customHeight="1">
      <c r="D36" s="71"/>
      <c r="E36" s="71"/>
      <c r="F36" s="71"/>
      <c r="G36" s="71"/>
      <c r="H36" s="71"/>
      <c r="I36" s="71"/>
    </row>
    <row r="37" spans="1:9" ht="15.75">
      <c r="A37" s="72"/>
      <c r="B37" s="138" t="s">
        <v>52</v>
      </c>
      <c r="C37" s="138"/>
      <c r="D37" s="138"/>
      <c r="E37" s="138"/>
      <c r="F37" s="138"/>
      <c r="G37" s="138"/>
      <c r="H37" s="138"/>
      <c r="I37" s="138"/>
    </row>
    <row r="38" spans="1:9" ht="12.75">
      <c r="A38" s="72"/>
      <c r="B38" s="139" t="s">
        <v>94</v>
      </c>
      <c r="C38" s="75"/>
      <c r="D38" s="76" t="str">
        <f>IF(E14&lt;45,IF(E23&lt;2695,"COBRA CRUISING",IF(E23&lt;3230,"COBRA RACING",IF(E23&lt;3610,"COBRA OCEAN","WIRE or MAMBA"))),"N/A")</f>
        <v>COBRA CRUISING</v>
      </c>
      <c r="E38" s="76"/>
      <c r="F38" s="76" t="str">
        <f>IF(E14&lt;55,IF(E23&lt;3230,"COBRA RACING",IF(E23&lt;3610,"COBRA OCEAN","WIRE or MAMBA")),"N/A")</f>
        <v>COBRA RACING</v>
      </c>
      <c r="G38" s="76"/>
      <c r="H38" s="76" t="str">
        <f>IF(E14&lt;60,IF(E23&lt;3610,"COBRA OCEAN","WIRE or MAMBA"),"N/A")</f>
        <v>COBRA OCEAN</v>
      </c>
      <c r="I38" s="76"/>
    </row>
    <row r="39" spans="1:9" ht="3" customHeight="1">
      <c r="A39" s="72"/>
      <c r="B39" s="140"/>
      <c r="C39" s="78"/>
      <c r="D39" s="141"/>
      <c r="E39" s="141"/>
      <c r="F39" s="142"/>
      <c r="G39" s="142"/>
      <c r="H39" s="79"/>
      <c r="I39" s="79"/>
    </row>
    <row r="40" spans="1:9" ht="12.75">
      <c r="A40" s="72"/>
      <c r="B40" s="143" t="s">
        <v>95</v>
      </c>
      <c r="C40" s="78"/>
      <c r="D40" s="127">
        <v>16</v>
      </c>
      <c r="E40" s="81" t="s">
        <v>96</v>
      </c>
      <c r="F40" s="127">
        <v>16</v>
      </c>
      <c r="G40" s="81" t="s">
        <v>96</v>
      </c>
      <c r="H40" s="127">
        <v>16</v>
      </c>
      <c r="I40" s="81" t="s">
        <v>96</v>
      </c>
    </row>
    <row r="41" spans="1:9" ht="12.75">
      <c r="A41" s="72"/>
      <c r="B41" s="144" t="s">
        <v>64</v>
      </c>
      <c r="C41" s="78"/>
      <c r="D41" s="145">
        <v>5.25</v>
      </c>
      <c r="E41" s="84" t="s">
        <v>96</v>
      </c>
      <c r="F41" s="145">
        <v>5.25</v>
      </c>
      <c r="G41" s="84" t="s">
        <v>96</v>
      </c>
      <c r="H41" s="145">
        <v>5.25</v>
      </c>
      <c r="I41" s="84" t="s">
        <v>96</v>
      </c>
    </row>
    <row r="42" spans="1:9" ht="12">
      <c r="A42" s="72"/>
      <c r="B42" s="144" t="s">
        <v>104</v>
      </c>
      <c r="C42" s="78"/>
      <c r="D42" s="83">
        <v>8</v>
      </c>
      <c r="E42" s="84" t="s">
        <v>96</v>
      </c>
      <c r="F42" s="83">
        <v>8</v>
      </c>
      <c r="G42" s="84" t="s">
        <v>96</v>
      </c>
      <c r="H42" s="83">
        <v>8</v>
      </c>
      <c r="I42" s="84" t="s">
        <v>96</v>
      </c>
    </row>
    <row r="43" spans="1:9" ht="12.75" customHeight="1">
      <c r="A43" s="72"/>
      <c r="B43" s="144" t="s">
        <v>105</v>
      </c>
      <c r="C43" s="78"/>
      <c r="D43" s="85">
        <f>D71/D67</f>
        <v>2.7720929921281816</v>
      </c>
      <c r="E43" s="85"/>
      <c r="F43" s="85">
        <f>F71/F67</f>
        <v>2.7720929921281816</v>
      </c>
      <c r="G43" s="85"/>
      <c r="H43" s="85">
        <f>H71/H67</f>
        <v>2.7720929921281816</v>
      </c>
      <c r="I43" s="85"/>
    </row>
    <row r="44" spans="1:9" ht="12">
      <c r="A44" s="72"/>
      <c r="B44" s="144" t="s">
        <v>106</v>
      </c>
      <c r="C44" s="78"/>
      <c r="D44" s="86">
        <f>IF(D38="COBRA CRUISING",5,(IF(D38="COBRA RACING",4,(IF(D38="COBRA OCEAN",6.7,"N/A")))))</f>
        <v>5</v>
      </c>
      <c r="E44" s="87" t="s">
        <v>57</v>
      </c>
      <c r="F44" s="86">
        <f>IF(F38="COBRA CRUISING",5,(IF(F38="COBRA RACING",4,(IF(F38="COBRA OCEAN",6.7,"N/A")))))</f>
        <v>4</v>
      </c>
      <c r="G44" s="87" t="s">
        <v>57</v>
      </c>
      <c r="H44" s="86">
        <f>IF(H38="COBRA CRUISING",5,(IF(H38="COBRA RACING",4,(IF(H38="COBRA OCEAN",6.7,"N/A")))))</f>
        <v>6.7</v>
      </c>
      <c r="I44" s="87" t="s">
        <v>57</v>
      </c>
    </row>
    <row r="45" spans="1:9" ht="12">
      <c r="A45" s="72"/>
      <c r="B45" s="144" t="s">
        <v>107</v>
      </c>
      <c r="C45" s="78"/>
      <c r="D45" s="83">
        <v>36</v>
      </c>
      <c r="E45" s="84" t="s">
        <v>59</v>
      </c>
      <c r="F45" s="83">
        <v>36</v>
      </c>
      <c r="G45" s="84" t="s">
        <v>59</v>
      </c>
      <c r="H45" s="83">
        <v>36</v>
      </c>
      <c r="I45" s="84" t="s">
        <v>59</v>
      </c>
    </row>
    <row r="46" spans="1:9" ht="12">
      <c r="A46" s="72"/>
      <c r="B46" s="144" t="s">
        <v>108</v>
      </c>
      <c r="C46" s="78"/>
      <c r="D46" s="83">
        <f>IF(D44="N/A","N/A",(($E$23/D43/D44/(D40*0.5/12))))</f>
        <v>74.29297013737701</v>
      </c>
      <c r="E46" s="84" t="s">
        <v>101</v>
      </c>
      <c r="F46" s="83">
        <f>IF(F44="N/A","N/A",(($E$23/F43/F44/(F40*0.5/12))))</f>
        <v>92.86621267172127</v>
      </c>
      <c r="G46" s="84" t="s">
        <v>101</v>
      </c>
      <c r="H46" s="83">
        <f>IF(H44="N/A","N/A",(($E$23/H43/H44/(H40*0.5/12))))</f>
        <v>55.442515027893286</v>
      </c>
      <c r="I46" s="84" t="s">
        <v>101</v>
      </c>
    </row>
    <row r="47" spans="1:9" ht="12">
      <c r="A47" s="72"/>
      <c r="B47" s="146" t="s">
        <v>103</v>
      </c>
      <c r="C47" s="89"/>
      <c r="D47" s="147">
        <f>IF(D44="N/A","N/A",(ATAN(D68/D67)/(PI()/180)*D44/180))</f>
        <v>1.766527098905956</v>
      </c>
      <c r="E47" s="147"/>
      <c r="F47" s="147">
        <f>IF(F44="N/A","N/A",(ATAN(F68/F67)/(PI()/180)*F44/180))</f>
        <v>1.4132216791247647</v>
      </c>
      <c r="G47" s="147"/>
      <c r="H47" s="147">
        <f>IF(H44="N/A","N/A",(ATAN(H68/H67)/(PI()/180)*H44/180))</f>
        <v>2.367146312533981</v>
      </c>
      <c r="I47" s="147"/>
    </row>
    <row r="48" spans="1:9" ht="12">
      <c r="A48" s="72"/>
      <c r="B48" s="91"/>
      <c r="C48" s="91"/>
      <c r="D48" s="71" t="str">
        <f>IF(D44="N/A","N/A",IF(D46&gt;51,"UNACCEPTABLE RIM LOADS","ACCEPTABLE RIM LOAD"))</f>
        <v>UNACCEPTABLE RIM LOADS</v>
      </c>
      <c r="E48" s="71"/>
      <c r="F48" s="71" t="str">
        <f>IF(F44="N/A","N/A",IF(F46&gt;51,"UNACCEPTABLE RIM LOADS","ACCEPTABLE RIM LOAD"))</f>
        <v>UNACCEPTABLE RIM LOADS</v>
      </c>
      <c r="G48" s="71"/>
      <c r="H48" s="71" t="str">
        <f>IF(H44="N/A","N/A",IF(H46&gt;51,"UNACCEPTABLE RIM LOADS","ACCEPTABLE RIM LOAD"))</f>
        <v>UNACCEPTABLE RIM LOADS</v>
      </c>
      <c r="I48" s="71"/>
    </row>
    <row r="49" spans="1:9" ht="12" customHeight="1">
      <c r="A49" s="72"/>
      <c r="B49" s="72"/>
      <c r="C49" s="72"/>
      <c r="D49" s="71"/>
      <c r="E49" s="71"/>
      <c r="F49" s="71"/>
      <c r="G49" s="71"/>
      <c r="H49" s="71"/>
      <c r="I49" s="71"/>
    </row>
    <row r="50" spans="1:9" ht="14.25">
      <c r="A50" s="92"/>
      <c r="B50" s="73" t="s">
        <v>60</v>
      </c>
      <c r="C50" s="73"/>
      <c r="D50" s="73"/>
      <c r="E50" s="73"/>
      <c r="F50" s="73"/>
      <c r="G50" s="73"/>
      <c r="H50" s="73"/>
      <c r="I50" s="73"/>
    </row>
    <row r="51" spans="1:9" ht="12">
      <c r="A51" s="72"/>
      <c r="B51" s="139" t="s">
        <v>94</v>
      </c>
      <c r="C51" s="75"/>
      <c r="D51" s="76" t="str">
        <f>IF(E14&gt;200,"HYDRAULIC ONLY",IF(E14&gt;65,"WRG GEARBOX","BG/WRG G/BOX"))</f>
        <v>BG/WRG G/BOX</v>
      </c>
      <c r="E51" s="76"/>
      <c r="F51" s="76" t="str">
        <f>IF(E14&gt;200,"HYDRAULIC ONLY",IF(E14&gt;60,"WRG GEARBOX","BG/WRG G/BOX"))</f>
        <v>BG/WRG G/BOX</v>
      </c>
      <c r="G51" s="76"/>
      <c r="H51" s="76" t="str">
        <f>IF(E14&gt;200,"HYDRAULIC ONLY",IF(E14&gt;60,"WRG GEARBOX","BG/WRG G/BOX"))</f>
        <v>BG/WRG G/BOX</v>
      </c>
      <c r="I51" s="76"/>
    </row>
    <row r="52" spans="1:9" ht="12">
      <c r="A52" s="72"/>
      <c r="B52" s="143" t="s">
        <v>95</v>
      </c>
      <c r="C52" s="78"/>
      <c r="D52" s="127">
        <v>30</v>
      </c>
      <c r="E52" s="81" t="s">
        <v>96</v>
      </c>
      <c r="F52" s="127">
        <v>30</v>
      </c>
      <c r="G52" s="81" t="s">
        <v>96</v>
      </c>
      <c r="H52" s="127">
        <v>16</v>
      </c>
      <c r="I52" s="81" t="s">
        <v>96</v>
      </c>
    </row>
    <row r="53" spans="1:9" ht="12.75">
      <c r="A53" s="72"/>
      <c r="B53" s="148" t="s">
        <v>109</v>
      </c>
      <c r="C53" s="78"/>
      <c r="D53" s="93" t="str">
        <f>IF(AND(E14&lt;41,E23&lt;1809),"WRG10",(IF(AND(E14&lt;46,E23&lt;2170),"WRG11/BG12",(IF(AND(E14&lt;65,E23&lt;3795),"WRG12",(IF(AND(E14&lt;61,E23&lt;3615),"BG30",(IF(AND(E14&lt;90,E23&lt;7965),"WRG18",(IF(AND(E14&lt;110,E23&lt;10100),"WRG20",(IF(AND(E14&lt;118,E23&lt;17700),"WRG45","WRG90")))))))))))))</f>
        <v>WRG11/BG12</v>
      </c>
      <c r="E53" s="93"/>
      <c r="F53" s="93" t="str">
        <f>IF(D53="WRG10","WRG11/BG12",IF(D53="WRG11/BG12","WRG12",IF(D53="WRG12","BG30",IF(D53="BG30","WRG18",IF(D53="WRG18","WRG20",IF(D53="WRG20","WRG45",IF(D53="WRG45","WRG90","HYDRAULIC")))))))</f>
        <v>WRG12</v>
      </c>
      <c r="G53" s="93"/>
      <c r="H53" s="93" t="str">
        <f>IF(F53="WRG11/BG12","WRG12",IF(F53="WRG12","BG30",IF(F53="BG30","WRG18",IF(F53="WRG18","WRG20",IF(F53="WRG20","WRG45",IF(F53="WRG45","WRG90","HYDRAULIC"))))))</f>
        <v>BG30</v>
      </c>
      <c r="I53" s="93"/>
    </row>
    <row r="54" spans="1:9" ht="12.75">
      <c r="A54" s="72"/>
      <c r="B54" s="143" t="s">
        <v>106</v>
      </c>
      <c r="C54" s="78"/>
      <c r="D54" s="94">
        <f>IF(D53="WRG10",4,(IF(D53="WRG11/BG12",5,(IF(D53="WRG12",7,(IF(D53="BG30",6.7,(IF(D53="WRG18",10,(IF(D53="WRG20",12.6,(IF(D53="WRG45",13,65)))))))))))))</f>
        <v>5</v>
      </c>
      <c r="E54" s="95" t="s">
        <v>57</v>
      </c>
      <c r="F54" s="94">
        <f>IF(F53="HYDRAULIC","N/A",(IF(F53="WRG10",4,(IF(F53="WRG11/BG12",5,(IF(F53="WRG12",7,(IF(F53="BG30",6.7,(IF(F53="WRG18",10,(IF(F53="WRG20",12.6,(IF(F53="WRG45",13,65)))))))))))))))</f>
        <v>7</v>
      </c>
      <c r="G54" s="95" t="s">
        <v>57</v>
      </c>
      <c r="H54" s="94">
        <f>IF(H53="HYDRAULIC","N/A",(IF(H53="WRG10",4,(IF(H53="WRG11/BG12",5,(IF(H53="WRG12",7,(IF(H53="BG30",6.7,(IF(H53="WRG18",10,(IF(H53="WRG20",12.6,(IF(H53="WRG45",13,65)))))))))))))))</f>
        <v>6.7</v>
      </c>
      <c r="I54" s="95" t="s">
        <v>57</v>
      </c>
    </row>
    <row r="55" spans="1:9" ht="12.75">
      <c r="A55" s="72"/>
      <c r="B55" s="144" t="s">
        <v>64</v>
      </c>
      <c r="C55" s="78"/>
      <c r="D55" s="94">
        <f>IF(D53="WRG18",7.33,IF(D53="WRG20",12,IF(D53="WRG45",16,IF(D53="WRG90",15.75,5.25))))</f>
        <v>5.25</v>
      </c>
      <c r="E55" s="84" t="s">
        <v>96</v>
      </c>
      <c r="F55" s="94">
        <f>IF(F53="WRG18",7.34,IF(F53="WRG20",12,IF(F53="WRG45",16,IF(F53="WRG90",15.75,IF(F53="HYDRAULIC","N/A",5.25)))))</f>
        <v>5.25</v>
      </c>
      <c r="G55" s="84" t="s">
        <v>96</v>
      </c>
      <c r="H55" s="94">
        <f>IF(H53="WRG18",7.34,IF(H53="WRG20",12,IF(H53="WRG45",16,IF(H53="WRG90",15.75,IF(H53="HYDRAULIC","N/A",5.25)))))</f>
        <v>5.25</v>
      </c>
      <c r="I55" s="84" t="s">
        <v>96</v>
      </c>
    </row>
    <row r="56" spans="1:9" ht="12.75">
      <c r="A56" s="72"/>
      <c r="B56" s="144" t="s">
        <v>104</v>
      </c>
      <c r="C56" s="78"/>
      <c r="D56" s="145">
        <f>IF(D53="WRG18",11.26,IF(D53="WRG20",18.25,IF(D53="WRG45",24.32,IF(D53="WRG90",24,8))))</f>
        <v>8</v>
      </c>
      <c r="E56" s="84" t="s">
        <v>96</v>
      </c>
      <c r="F56" s="145">
        <f>IF(F53="WRG18",11.26,IF(F53="WRG20",18.25,IF(F53="WRG45",24.32,IF(F53="WRG90",24,IF(F53="HYDRAULIC","N/A",8)))))</f>
        <v>8</v>
      </c>
      <c r="G56" s="84" t="s">
        <v>96</v>
      </c>
      <c r="H56" s="145">
        <f>IF(H53="WRG18",11.26,IF(H53="WRG20",18.25,IF(H53="WRG45",24.32,IF(H53="WRG90",24,IF(H53="HYDRAULIC","N/A",8)))))</f>
        <v>8</v>
      </c>
      <c r="I56" s="84" t="s">
        <v>96</v>
      </c>
    </row>
    <row r="57" spans="1:9" ht="12.75">
      <c r="A57" s="72"/>
      <c r="B57" s="144" t="s">
        <v>105</v>
      </c>
      <c r="C57" s="78"/>
      <c r="D57" s="85">
        <f>D80/D76</f>
        <v>2.7720929921281816</v>
      </c>
      <c r="E57" s="85"/>
      <c r="F57" s="85">
        <f>F80/F76</f>
        <v>2.7720929921281816</v>
      </c>
      <c r="G57" s="85"/>
      <c r="H57" s="85">
        <f>H80/H76</f>
        <v>2.7720929921281816</v>
      </c>
      <c r="I57" s="85"/>
    </row>
    <row r="58" spans="1:9" ht="12.75">
      <c r="A58" s="72"/>
      <c r="B58" s="144" t="s">
        <v>107</v>
      </c>
      <c r="C58" s="78"/>
      <c r="D58" s="83">
        <v>36</v>
      </c>
      <c r="E58" s="84" t="s">
        <v>59</v>
      </c>
      <c r="F58" s="83">
        <f>IF(F53="HYDRAULIC","N/A",36)</f>
        <v>36</v>
      </c>
      <c r="G58" s="84" t="s">
        <v>59</v>
      </c>
      <c r="H58" s="83">
        <f>IF(H53="HYDRAULIC","N/A",36)</f>
        <v>36</v>
      </c>
      <c r="I58" s="84" t="s">
        <v>59</v>
      </c>
    </row>
    <row r="59" spans="1:9" ht="12.75">
      <c r="A59" s="72"/>
      <c r="B59" s="144" t="s">
        <v>108</v>
      </c>
      <c r="C59" s="78"/>
      <c r="D59" s="83">
        <f>($E$23/D57/D54/(D52*0.5/12))</f>
        <v>39.622917406601076</v>
      </c>
      <c r="E59" s="84" t="s">
        <v>101</v>
      </c>
      <c r="F59" s="83">
        <f>IF(F53="HYDRAULIC","N/A",($E$23/F57/F54/(F52*0.5/12)))</f>
        <v>28.30208386185791</v>
      </c>
      <c r="G59" s="84" t="s">
        <v>101</v>
      </c>
      <c r="H59" s="83">
        <f>IF(H53="HYDRAULIC","N/A",($E$23/H57/H54/(H52*0.5/12)))</f>
        <v>55.442515027893286</v>
      </c>
      <c r="I59" s="84" t="s">
        <v>101</v>
      </c>
    </row>
    <row r="60" spans="1:9" ht="12">
      <c r="A60" s="72"/>
      <c r="B60" s="146" t="s">
        <v>103</v>
      </c>
      <c r="C60" s="89"/>
      <c r="D60" s="90">
        <f>ATAN(D77/D76)/(PI()/180)*D54/180</f>
        <v>1.766527098905956</v>
      </c>
      <c r="E60" s="90"/>
      <c r="F60" s="90">
        <f>IF(F53="HYDRAULIC","N/A",(ATAN(F77/F76)/(PI()/180)*F54/180))</f>
        <v>2.473137938468338</v>
      </c>
      <c r="G60" s="90"/>
      <c r="H60" s="90">
        <f>IF(H53="HYDRAULIC","N/A",(ATAN(H77/H76)/(PI()/180)*H54/180))</f>
        <v>2.367146312533981</v>
      </c>
      <c r="I60" s="90"/>
    </row>
    <row r="61" spans="1:9" ht="12">
      <c r="A61" s="72"/>
      <c r="B61" s="91"/>
      <c r="C61" s="91"/>
      <c r="D61" s="71" t="str">
        <f>IF(D59&gt;51,"UNACCEPTABLE RIM LOADS","ACCEPTABLE RIM LOAD")</f>
        <v>ACCEPTABLE RIM LOAD</v>
      </c>
      <c r="E61" s="71"/>
      <c r="F61" s="71" t="str">
        <f>IF(F59&gt;51,"UNACCEPTABLE RIM LOADS","ACCEPTABLE RIM LOAD")</f>
        <v>ACCEPTABLE RIM LOAD</v>
      </c>
      <c r="G61" s="71"/>
      <c r="H61" s="71" t="str">
        <f>IF(H59&gt;51,"UNACCEPTABLE RIM LOADS","ACCEPTABLE RIM LOAD")</f>
        <v>UNACCEPTABLE RIM LOADS</v>
      </c>
      <c r="I61" s="71"/>
    </row>
    <row r="62" spans="1:9" ht="12">
      <c r="A62" s="72"/>
      <c r="B62" s="91"/>
      <c r="C62" s="91"/>
      <c r="D62" s="71"/>
      <c r="E62" s="71"/>
      <c r="F62" s="71"/>
      <c r="G62" s="71"/>
      <c r="H62" s="71"/>
      <c r="I62" s="71"/>
    </row>
    <row r="63" spans="1:9" ht="12">
      <c r="A63" s="72"/>
      <c r="B63" s="91"/>
      <c r="C63" s="91"/>
      <c r="D63" s="97" t="str">
        <f>IF(D61="UNACCEPTABLE RIM LOADS","CONSIDER POWER ASSISTED STEERING"," ")</f>
        <v> </v>
      </c>
      <c r="E63" s="97"/>
      <c r="F63" s="97" t="str">
        <f>IF(F61="UNACCEPTABLE RIM LOADS","CONSIDER POWER ASSISTED STEERING"," ")</f>
        <v> </v>
      </c>
      <c r="G63" s="97"/>
      <c r="H63" s="97" t="str">
        <f>IF(H61="UNACCEPTABLE RIM LOADS","CONSIDER POWER ASSISTED STEERING"," ")</f>
        <v>CONSIDER POWER ASSISTED STEERING</v>
      </c>
      <c r="I63" s="97"/>
    </row>
    <row r="64" spans="1:9" ht="12">
      <c r="A64" s="72"/>
      <c r="B64" s="91"/>
      <c r="C64" s="91"/>
      <c r="D64" s="97"/>
      <c r="E64" s="97"/>
      <c r="F64" s="97"/>
      <c r="G64" s="97"/>
      <c r="H64" s="97"/>
      <c r="I64" s="97"/>
    </row>
    <row r="65" spans="1:9" ht="12.75" hidden="1">
      <c r="A65" s="14"/>
      <c r="B65" s="98" t="s">
        <v>63</v>
      </c>
      <c r="C65" s="14"/>
      <c r="D65" s="99"/>
      <c r="E65" s="99"/>
      <c r="F65" s="99"/>
      <c r="G65" s="99"/>
      <c r="H65" s="99"/>
      <c r="I65" s="101"/>
    </row>
    <row r="66" spans="1:9" ht="12.75" hidden="1">
      <c r="A66" s="14"/>
      <c r="B66" s="100" t="s">
        <v>64</v>
      </c>
      <c r="C66" s="98"/>
      <c r="D66" s="98">
        <f>D41</f>
        <v>5.25</v>
      </c>
      <c r="E66" s="98"/>
      <c r="F66" s="98">
        <f>F41</f>
        <v>5.25</v>
      </c>
      <c r="G66" s="98"/>
      <c r="H66" s="98">
        <f>H41</f>
        <v>5.25</v>
      </c>
      <c r="I66" s="101"/>
    </row>
    <row r="67" spans="1:9" ht="12.75" hidden="1">
      <c r="A67" s="14"/>
      <c r="B67" s="98" t="s">
        <v>65</v>
      </c>
      <c r="C67" s="98"/>
      <c r="D67" s="98">
        <f>SQRT((D66*D66)-(D68*D68))</f>
        <v>2.3347470569631987</v>
      </c>
      <c r="E67" s="98"/>
      <c r="F67" s="98">
        <f>SQRT((F66*F66)-(F68*F68))</f>
        <v>2.3347470569631987</v>
      </c>
      <c r="G67" s="98"/>
      <c r="H67" s="98">
        <f>SQRT((H66*H66)-(H68*H68))</f>
        <v>2.3347470569631987</v>
      </c>
      <c r="I67" s="101"/>
    </row>
    <row r="68" spans="1:9" ht="12.75" hidden="1">
      <c r="A68" s="14"/>
      <c r="B68" s="98" t="s">
        <v>66</v>
      </c>
      <c r="C68" s="98"/>
      <c r="D68" s="98">
        <f>D72</f>
        <v>4.702282018339785</v>
      </c>
      <c r="E68" s="98"/>
      <c r="F68" s="98">
        <f>F72</f>
        <v>4.702282018339785</v>
      </c>
      <c r="G68" s="98"/>
      <c r="H68" s="98">
        <f>H72</f>
        <v>4.702282018339785</v>
      </c>
      <c r="I68" s="101"/>
    </row>
    <row r="69" spans="1:9" ht="12.75" hidden="1">
      <c r="A69" s="14"/>
      <c r="B69" s="98"/>
      <c r="C69" s="98"/>
      <c r="D69" s="98"/>
      <c r="E69" s="98"/>
      <c r="F69" s="98"/>
      <c r="G69" s="98"/>
      <c r="H69" s="98"/>
      <c r="I69" s="101"/>
    </row>
    <row r="70" spans="1:9" ht="12.75" hidden="1">
      <c r="A70" s="14"/>
      <c r="B70" s="98" t="s">
        <v>67</v>
      </c>
      <c r="C70" s="98"/>
      <c r="D70" s="98">
        <f>D42</f>
        <v>8</v>
      </c>
      <c r="E70" s="98"/>
      <c r="F70" s="98">
        <f>F42</f>
        <v>8</v>
      </c>
      <c r="G70" s="98"/>
      <c r="H70" s="98">
        <f>H42</f>
        <v>8</v>
      </c>
      <c r="I70" s="101"/>
    </row>
    <row r="71" spans="1:9" ht="12.75" hidden="1">
      <c r="A71" s="14"/>
      <c r="B71" s="98" t="s">
        <v>68</v>
      </c>
      <c r="C71" s="98"/>
      <c r="D71" s="98">
        <f>SQRT((D70*D70)-(D72*D72))</f>
        <v>6.47213595499958</v>
      </c>
      <c r="E71" s="98"/>
      <c r="F71" s="98">
        <f>SQRT((F70*F70)-(F72*F72))</f>
        <v>6.47213595499958</v>
      </c>
      <c r="G71" s="98"/>
      <c r="H71" s="98">
        <f>SQRT((H70*H70)-(H72*H72))</f>
        <v>6.47213595499958</v>
      </c>
      <c r="I71" s="101"/>
    </row>
    <row r="72" spans="1:9" ht="12.75" hidden="1">
      <c r="A72" s="14"/>
      <c r="B72" s="98" t="s">
        <v>66</v>
      </c>
      <c r="C72" s="98"/>
      <c r="D72" s="98">
        <f>SIN(D45*PI()/180)*D70</f>
        <v>4.702282018339785</v>
      </c>
      <c r="E72" s="98"/>
      <c r="F72" s="98">
        <f>SIN(F45*PI()/180)*F70</f>
        <v>4.702282018339785</v>
      </c>
      <c r="G72" s="98"/>
      <c r="H72" s="98">
        <f>SIN(H45*PI()/180)*H70</f>
        <v>4.702282018339785</v>
      </c>
      <c r="I72" s="14"/>
    </row>
    <row r="73" spans="1:9" ht="12.75" hidden="1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75" hidden="1">
      <c r="A74" s="14"/>
      <c r="B74" s="102" t="s">
        <v>69</v>
      </c>
      <c r="C74" s="14"/>
      <c r="D74" s="14"/>
      <c r="E74" s="14"/>
      <c r="F74" s="14"/>
      <c r="G74" s="14"/>
      <c r="H74" s="14"/>
      <c r="I74" s="101"/>
    </row>
    <row r="75" spans="1:9" ht="12.75" hidden="1">
      <c r="A75" s="14"/>
      <c r="B75" s="103" t="s">
        <v>64</v>
      </c>
      <c r="C75" s="102"/>
      <c r="D75" s="102">
        <f>D55</f>
        <v>5.25</v>
      </c>
      <c r="E75" s="102"/>
      <c r="F75" s="102">
        <f>F55</f>
        <v>5.25</v>
      </c>
      <c r="G75" s="102"/>
      <c r="H75" s="102">
        <f>H55</f>
        <v>5.25</v>
      </c>
      <c r="I75" s="101"/>
    </row>
    <row r="76" spans="1:9" ht="12.75" hidden="1">
      <c r="A76" s="14"/>
      <c r="B76" s="102" t="s">
        <v>65</v>
      </c>
      <c r="C76" s="102"/>
      <c r="D76" s="102">
        <f>SQRT((D75*D75)-(D77*D77))</f>
        <v>2.3347470569631987</v>
      </c>
      <c r="E76" s="102"/>
      <c r="F76" s="102">
        <f>SQRT((F75*F75)-(F77*F77))</f>
        <v>2.3347470569631987</v>
      </c>
      <c r="G76" s="102"/>
      <c r="H76" s="102">
        <f>SQRT((H75*H75)-(H77*H77))</f>
        <v>2.3347470569631987</v>
      </c>
      <c r="I76" s="101"/>
    </row>
    <row r="77" spans="1:9" ht="12.75" hidden="1">
      <c r="A77" s="14"/>
      <c r="B77" s="102" t="s">
        <v>66</v>
      </c>
      <c r="C77" s="102"/>
      <c r="D77" s="102">
        <f>D81</f>
        <v>4.702282018339785</v>
      </c>
      <c r="E77" s="102"/>
      <c r="F77" s="102">
        <f>F81</f>
        <v>4.702282018339785</v>
      </c>
      <c r="G77" s="102"/>
      <c r="H77" s="102">
        <f>H81</f>
        <v>4.702282018339785</v>
      </c>
      <c r="I77" s="101"/>
    </row>
    <row r="78" spans="1:9" ht="12.75" hidden="1">
      <c r="A78" s="14"/>
      <c r="B78" s="102"/>
      <c r="C78" s="102"/>
      <c r="D78" s="102"/>
      <c r="E78" s="102"/>
      <c r="F78" s="102"/>
      <c r="G78" s="102"/>
      <c r="H78" s="102"/>
      <c r="I78" s="101"/>
    </row>
    <row r="79" spans="1:9" ht="12.75" hidden="1">
      <c r="A79" s="14"/>
      <c r="B79" s="102" t="s">
        <v>67</v>
      </c>
      <c r="C79" s="102"/>
      <c r="D79" s="102">
        <f>D56</f>
        <v>8</v>
      </c>
      <c r="E79" s="102"/>
      <c r="F79" s="102">
        <f>F56</f>
        <v>8</v>
      </c>
      <c r="G79" s="102"/>
      <c r="H79" s="102">
        <f>H56</f>
        <v>8</v>
      </c>
      <c r="I79" s="101"/>
    </row>
    <row r="80" spans="1:9" ht="12.75" hidden="1">
      <c r="A80" s="14"/>
      <c r="B80" s="102" t="s">
        <v>68</v>
      </c>
      <c r="C80" s="102"/>
      <c r="D80" s="102">
        <f>SQRT((D79*D79)-(D81*D81))</f>
        <v>6.47213595499958</v>
      </c>
      <c r="E80" s="102"/>
      <c r="F80" s="102">
        <f>SQRT((F79*F79)-(F81*F81))</f>
        <v>6.47213595499958</v>
      </c>
      <c r="G80" s="102"/>
      <c r="H80" s="102">
        <f>SQRT((H79*H79)-(H81*H81))</f>
        <v>6.47213595499958</v>
      </c>
      <c r="I80" s="101"/>
    </row>
    <row r="81" spans="1:9" ht="12.75" hidden="1">
      <c r="A81" s="14"/>
      <c r="B81" s="102" t="s">
        <v>66</v>
      </c>
      <c r="C81" s="102"/>
      <c r="D81" s="102">
        <f>SIN(D58*PI()/180)*D79</f>
        <v>4.702282018339785</v>
      </c>
      <c r="E81" s="102"/>
      <c r="F81" s="102">
        <f>SIN(F58*PI()/180)*F79</f>
        <v>4.702282018339785</v>
      </c>
      <c r="G81" s="102"/>
      <c r="H81" s="102">
        <f>SIN(H58*PI()/180)*H79</f>
        <v>4.702282018339785</v>
      </c>
      <c r="I81" s="99"/>
    </row>
    <row r="82" spans="1:9" ht="12.75" hidden="1">
      <c r="A82" s="14"/>
      <c r="B82" s="14"/>
      <c r="C82" s="14"/>
      <c r="D82" s="14"/>
      <c r="E82" s="14"/>
      <c r="F82" s="14"/>
      <c r="G82" s="14"/>
      <c r="H82" s="14"/>
      <c r="I82" s="14"/>
    </row>
    <row r="83" spans="4:8" ht="12">
      <c r="D83" s="14"/>
      <c r="E83" s="14"/>
      <c r="F83" s="14"/>
      <c r="G83" s="14"/>
      <c r="H83" s="14"/>
    </row>
  </sheetData>
  <mergeCells count="54">
    <mergeCell ref="B5:I5"/>
    <mergeCell ref="B7:I7"/>
    <mergeCell ref="H11:I11"/>
    <mergeCell ref="B13:C13"/>
    <mergeCell ref="E13:F13"/>
    <mergeCell ref="H13:I13"/>
    <mergeCell ref="B25:I25"/>
    <mergeCell ref="D26:E26"/>
    <mergeCell ref="F26:G26"/>
    <mergeCell ref="H26:I26"/>
    <mergeCell ref="D30:E30"/>
    <mergeCell ref="F30:G30"/>
    <mergeCell ref="H30:I30"/>
    <mergeCell ref="D34:E34"/>
    <mergeCell ref="F34:G34"/>
    <mergeCell ref="H34:I34"/>
    <mergeCell ref="D35:E36"/>
    <mergeCell ref="F35:G36"/>
    <mergeCell ref="H35:I36"/>
    <mergeCell ref="B37:I37"/>
    <mergeCell ref="D38:E38"/>
    <mergeCell ref="F38:G38"/>
    <mergeCell ref="H38:I38"/>
    <mergeCell ref="D39:E39"/>
    <mergeCell ref="F39:G39"/>
    <mergeCell ref="H39:I39"/>
    <mergeCell ref="D43:E43"/>
    <mergeCell ref="F43:G43"/>
    <mergeCell ref="H43:I43"/>
    <mergeCell ref="D47:E47"/>
    <mergeCell ref="F47:G47"/>
    <mergeCell ref="H47:I47"/>
    <mergeCell ref="D48:E49"/>
    <mergeCell ref="F48:G49"/>
    <mergeCell ref="H48:I49"/>
    <mergeCell ref="B50:I50"/>
    <mergeCell ref="D51:E51"/>
    <mergeCell ref="F51:G51"/>
    <mergeCell ref="H51:I51"/>
    <mergeCell ref="D53:E53"/>
    <mergeCell ref="F53:G53"/>
    <mergeCell ref="H53:I53"/>
    <mergeCell ref="D57:E57"/>
    <mergeCell ref="F57:G57"/>
    <mergeCell ref="H57:I57"/>
    <mergeCell ref="D60:E60"/>
    <mergeCell ref="F60:G60"/>
    <mergeCell ref="H60:I60"/>
    <mergeCell ref="D61:E62"/>
    <mergeCell ref="F61:G62"/>
    <mergeCell ref="H61:I62"/>
    <mergeCell ref="D63:E64"/>
    <mergeCell ref="F63:G64"/>
    <mergeCell ref="H63:I64"/>
  </mergeCells>
  <printOptions horizontalCentered="1"/>
  <pageMargins left="0.39375" right="0.39375" top="0.39375" bottom="0.39375" header="0.5118055555555555" footer="0.39375"/>
  <pageSetup fitToHeight="1" fitToWidth="1" horizontalDpi="300" verticalDpi="300" orientation="portrait" paperSize="9"/>
  <headerFooter alignWithMargins="0">
    <oddFooter>&amp;R&amp;D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showGridLines="0" view="pageBreakPreview" zoomScaleNormal="75" zoomScaleSheetLayoutView="100" workbookViewId="0" topLeftCell="A1">
      <selection activeCell="B46" sqref="B46"/>
    </sheetView>
  </sheetViews>
  <sheetFormatPr defaultColWidth="9.140625" defaultRowHeight="12.75"/>
  <cols>
    <col min="1" max="1" width="11.140625" style="0" customWidth="1"/>
    <col min="2" max="3" width="9.140625" style="0" customWidth="1"/>
    <col min="4" max="5" width="11.8515625" style="149" customWidth="1"/>
    <col min="6" max="6" width="11.8515625" style="0" customWidth="1"/>
    <col min="7" max="8" width="9.140625" style="0" customWidth="1"/>
    <col min="9" max="9" width="7.57421875" style="149" customWidth="1"/>
  </cols>
  <sheetData>
    <row r="1" spans="1:9" ht="15" customHeight="1">
      <c r="A1" s="150" t="s">
        <v>110</v>
      </c>
      <c r="B1" s="150"/>
      <c r="C1" s="150"/>
      <c r="D1" s="150"/>
      <c r="E1" s="150"/>
      <c r="F1" s="150"/>
      <c r="G1" s="150"/>
      <c r="H1" s="150"/>
      <c r="I1" s="150"/>
    </row>
    <row r="2" spans="1:9" ht="15" customHeight="1">
      <c r="A2" s="151" t="s">
        <v>111</v>
      </c>
      <c r="B2" s="151"/>
      <c r="C2" s="151"/>
      <c r="D2" s="151"/>
      <c r="E2" s="151"/>
      <c r="F2" s="151"/>
      <c r="G2" s="151"/>
      <c r="H2" s="151"/>
      <c r="I2" s="151"/>
    </row>
    <row r="3" spans="1:9" ht="15" customHeight="1">
      <c r="A3" s="152" t="s">
        <v>112</v>
      </c>
      <c r="B3" s="152"/>
      <c r="C3" s="152"/>
      <c r="D3" s="152"/>
      <c r="E3" s="152"/>
      <c r="F3" s="152"/>
      <c r="G3" s="152"/>
      <c r="H3" s="152"/>
      <c r="I3" s="152"/>
    </row>
    <row r="4" spans="1:9" ht="6" customHeight="1">
      <c r="A4" s="153"/>
      <c r="B4" s="153"/>
      <c r="C4" s="153"/>
      <c r="D4" s="153"/>
      <c r="E4" s="153"/>
      <c r="F4" s="153"/>
      <c r="G4" s="153"/>
      <c r="H4" s="153"/>
      <c r="I4" s="153"/>
    </row>
    <row r="5" spans="1:9" ht="27" customHeight="1">
      <c r="A5" s="154" t="s">
        <v>113</v>
      </c>
      <c r="B5" s="154"/>
      <c r="C5" s="154"/>
      <c r="D5" s="154"/>
      <c r="E5" s="154"/>
      <c r="F5" s="154"/>
      <c r="G5" s="154"/>
      <c r="H5" s="154"/>
      <c r="I5" s="154"/>
    </row>
    <row r="6" spans="1:9" ht="28.5" customHeight="1">
      <c r="A6" s="155" t="s">
        <v>114</v>
      </c>
      <c r="B6" s="155"/>
      <c r="C6" s="156"/>
      <c r="D6" s="157" t="s">
        <v>115</v>
      </c>
      <c r="E6" s="158" t="s">
        <v>116</v>
      </c>
      <c r="F6" s="158"/>
      <c r="G6" s="159" t="s">
        <v>117</v>
      </c>
      <c r="H6" s="159"/>
      <c r="I6" s="159"/>
    </row>
    <row r="7" spans="1:9" ht="12" customHeight="1">
      <c r="A7" s="160"/>
      <c r="B7" s="34"/>
      <c r="C7" s="34"/>
      <c r="D7" s="161"/>
      <c r="E7" s="162" t="s">
        <v>8</v>
      </c>
      <c r="F7" s="163" t="s">
        <v>79</v>
      </c>
      <c r="G7" s="164" t="s">
        <v>118</v>
      </c>
      <c r="H7" s="164" t="s">
        <v>93</v>
      </c>
      <c r="I7" s="165" t="s">
        <v>36</v>
      </c>
    </row>
    <row r="8" spans="1:9" ht="12">
      <c r="A8" s="166" t="s">
        <v>119</v>
      </c>
      <c r="B8" s="164" t="s">
        <v>120</v>
      </c>
      <c r="C8" s="167"/>
      <c r="D8" s="164" t="s">
        <v>121</v>
      </c>
      <c r="E8" s="164" t="s">
        <v>122</v>
      </c>
      <c r="F8" s="164" t="s">
        <v>123</v>
      </c>
      <c r="G8" s="164">
        <v>175</v>
      </c>
      <c r="H8" s="168">
        <f>SUM(G8*7.233)</f>
        <v>1265.7749999999999</v>
      </c>
      <c r="I8" s="169">
        <f aca="true" t="shared" si="0" ref="I8:I13">SUM(G8*9.80665)</f>
        <v>1716.16375</v>
      </c>
    </row>
    <row r="9" spans="1:9" ht="12">
      <c r="A9" s="166" t="s">
        <v>124</v>
      </c>
      <c r="B9" s="164" t="s">
        <v>120</v>
      </c>
      <c r="C9" s="167"/>
      <c r="D9" s="164" t="s">
        <v>125</v>
      </c>
      <c r="E9" s="164" t="s">
        <v>126</v>
      </c>
      <c r="F9" s="164" t="s">
        <v>127</v>
      </c>
      <c r="G9" s="164">
        <v>200</v>
      </c>
      <c r="H9" s="168">
        <f>SUM(G9*7.233)</f>
        <v>1446.6</v>
      </c>
      <c r="I9" s="169">
        <f t="shared" si="0"/>
        <v>1961.33</v>
      </c>
    </row>
    <row r="10" spans="1:9" ht="12">
      <c r="A10" s="166" t="s">
        <v>128</v>
      </c>
      <c r="B10" s="164" t="s">
        <v>120</v>
      </c>
      <c r="C10" s="167"/>
      <c r="D10" s="164" t="s">
        <v>129</v>
      </c>
      <c r="E10" s="164" t="s">
        <v>130</v>
      </c>
      <c r="F10" s="164" t="s">
        <v>131</v>
      </c>
      <c r="G10" s="164">
        <v>250</v>
      </c>
      <c r="H10" s="168">
        <f aca="true" t="shared" si="1" ref="H10:H34">SUM(G10*7.233)</f>
        <v>1808.25</v>
      </c>
      <c r="I10" s="169">
        <f t="shared" si="0"/>
        <v>2451.6625</v>
      </c>
    </row>
    <row r="11" spans="1:9" ht="12">
      <c r="A11" s="166" t="s">
        <v>132</v>
      </c>
      <c r="B11" s="164" t="s">
        <v>120</v>
      </c>
      <c r="C11" s="167"/>
      <c r="D11" s="164" t="s">
        <v>133</v>
      </c>
      <c r="E11" s="164" t="s">
        <v>134</v>
      </c>
      <c r="F11" s="164" t="s">
        <v>135</v>
      </c>
      <c r="G11" s="164">
        <v>300</v>
      </c>
      <c r="H11" s="168">
        <f t="shared" si="1"/>
        <v>2169.9</v>
      </c>
      <c r="I11" s="169">
        <f t="shared" si="0"/>
        <v>2941.995</v>
      </c>
    </row>
    <row r="12" spans="1:9" ht="12">
      <c r="A12" s="166" t="s">
        <v>136</v>
      </c>
      <c r="B12" s="164" t="s">
        <v>120</v>
      </c>
      <c r="C12" s="167"/>
      <c r="D12" s="164" t="s">
        <v>137</v>
      </c>
      <c r="E12" s="164" t="s">
        <v>138</v>
      </c>
      <c r="F12" s="164" t="s">
        <v>139</v>
      </c>
      <c r="G12" s="164">
        <v>350</v>
      </c>
      <c r="H12" s="168">
        <f t="shared" si="1"/>
        <v>2531.5499999999997</v>
      </c>
      <c r="I12" s="169">
        <f t="shared" si="0"/>
        <v>3432.3275</v>
      </c>
    </row>
    <row r="13" spans="1:9" ht="12">
      <c r="A13" s="166" t="s">
        <v>140</v>
      </c>
      <c r="B13" s="164" t="s">
        <v>120</v>
      </c>
      <c r="C13" s="167"/>
      <c r="D13" s="164" t="s">
        <v>141</v>
      </c>
      <c r="E13" s="164" t="s">
        <v>142</v>
      </c>
      <c r="F13" s="164" t="s">
        <v>143</v>
      </c>
      <c r="G13" s="164">
        <v>580</v>
      </c>
      <c r="H13" s="168">
        <f t="shared" si="1"/>
        <v>4195.139999999999</v>
      </c>
      <c r="I13" s="169">
        <f t="shared" si="0"/>
        <v>5687.857</v>
      </c>
    </row>
    <row r="14" spans="1:9" ht="5.25" customHeight="1">
      <c r="A14" s="160"/>
      <c r="B14" s="34"/>
      <c r="C14" s="34"/>
      <c r="D14" s="161"/>
      <c r="E14" s="34"/>
      <c r="F14" s="34"/>
      <c r="G14" s="34"/>
      <c r="H14" s="170"/>
      <c r="I14" s="171"/>
    </row>
    <row r="15" spans="1:9" ht="12">
      <c r="A15" s="166" t="s">
        <v>144</v>
      </c>
      <c r="B15" s="164" t="s">
        <v>145</v>
      </c>
      <c r="C15" s="167"/>
      <c r="D15" s="164"/>
      <c r="E15" s="167"/>
      <c r="F15" s="167"/>
      <c r="G15" s="164">
        <v>300</v>
      </c>
      <c r="H15" s="168">
        <f t="shared" si="1"/>
        <v>2169.9</v>
      </c>
      <c r="I15" s="169">
        <f>SUM(G15*9.80665)</f>
        <v>2941.995</v>
      </c>
    </row>
    <row r="16" spans="1:9" ht="12">
      <c r="A16" s="166" t="s">
        <v>146</v>
      </c>
      <c r="B16" s="164" t="s">
        <v>147</v>
      </c>
      <c r="C16" s="167"/>
      <c r="D16" s="164"/>
      <c r="E16" s="167"/>
      <c r="F16" s="167"/>
      <c r="G16" s="164">
        <v>400</v>
      </c>
      <c r="H16" s="168">
        <f t="shared" si="1"/>
        <v>2893.2</v>
      </c>
      <c r="I16" s="169">
        <f>SUM(G16*9.80665)</f>
        <v>3922.66</v>
      </c>
    </row>
    <row r="17" spans="1:9" ht="12">
      <c r="A17" s="166" t="s">
        <v>148</v>
      </c>
      <c r="B17" s="164" t="s">
        <v>149</v>
      </c>
      <c r="C17" s="167"/>
      <c r="D17" s="164"/>
      <c r="E17" s="167"/>
      <c r="F17" s="167"/>
      <c r="G17" s="164">
        <v>475</v>
      </c>
      <c r="H17" s="168">
        <f t="shared" si="1"/>
        <v>3435.6749999999997</v>
      </c>
      <c r="I17" s="169">
        <f>SUM(G17*9.80665)</f>
        <v>4658.15875</v>
      </c>
    </row>
    <row r="18" spans="1:9" ht="12">
      <c r="A18" s="166" t="s">
        <v>150</v>
      </c>
      <c r="B18" s="164" t="s">
        <v>151</v>
      </c>
      <c r="C18" s="167"/>
      <c r="D18" s="164"/>
      <c r="E18" s="167"/>
      <c r="F18" s="167"/>
      <c r="G18" s="164">
        <v>660</v>
      </c>
      <c r="H18" s="168">
        <f t="shared" si="1"/>
        <v>4773.78</v>
      </c>
      <c r="I18" s="169">
        <f>SUM(G18*9.80665)</f>
        <v>6472.388999999999</v>
      </c>
    </row>
    <row r="19" spans="1:9" ht="5.25" customHeight="1">
      <c r="A19" s="160"/>
      <c r="B19" s="34"/>
      <c r="C19" s="34"/>
      <c r="D19" s="161"/>
      <c r="E19" s="34"/>
      <c r="F19" s="34"/>
      <c r="G19" s="161"/>
      <c r="H19" s="170"/>
      <c r="I19" s="171"/>
    </row>
    <row r="20" spans="1:9" ht="12">
      <c r="A20" s="166" t="s">
        <v>152</v>
      </c>
      <c r="B20" s="164" t="s">
        <v>153</v>
      </c>
      <c r="C20" s="167"/>
      <c r="D20" s="164" t="s">
        <v>154</v>
      </c>
      <c r="E20" s="164" t="s">
        <v>122</v>
      </c>
      <c r="F20" s="164" t="s">
        <v>123</v>
      </c>
      <c r="G20" s="164"/>
      <c r="H20" s="168"/>
      <c r="I20" s="165"/>
    </row>
    <row r="21" spans="1:9" ht="12">
      <c r="A21" s="166" t="s">
        <v>155</v>
      </c>
      <c r="B21" s="164" t="s">
        <v>153</v>
      </c>
      <c r="C21" s="167"/>
      <c r="D21" s="164" t="s">
        <v>156</v>
      </c>
      <c r="E21" s="164" t="s">
        <v>157</v>
      </c>
      <c r="F21" s="164" t="s">
        <v>158</v>
      </c>
      <c r="G21" s="164">
        <v>200</v>
      </c>
      <c r="H21" s="168">
        <f t="shared" si="1"/>
        <v>1446.6</v>
      </c>
      <c r="I21" s="169">
        <f aca="true" t="shared" si="2" ref="I21:I27">SUM(G21*9.80665)</f>
        <v>1961.33</v>
      </c>
    </row>
    <row r="22" spans="1:9" ht="12">
      <c r="A22" s="166" t="s">
        <v>132</v>
      </c>
      <c r="B22" s="164" t="s">
        <v>153</v>
      </c>
      <c r="C22" s="167"/>
      <c r="D22" s="164" t="s">
        <v>159</v>
      </c>
      <c r="E22" s="164" t="s">
        <v>160</v>
      </c>
      <c r="F22" s="164" t="s">
        <v>161</v>
      </c>
      <c r="G22" s="164">
        <v>270</v>
      </c>
      <c r="H22" s="168">
        <f t="shared" si="1"/>
        <v>1952.9099999999999</v>
      </c>
      <c r="I22" s="169">
        <f t="shared" si="2"/>
        <v>2647.7954999999997</v>
      </c>
    </row>
    <row r="23" spans="1:9" ht="12">
      <c r="A23" s="166" t="s">
        <v>136</v>
      </c>
      <c r="B23" s="164" t="s">
        <v>153</v>
      </c>
      <c r="C23" s="167"/>
      <c r="D23" s="164" t="s">
        <v>162</v>
      </c>
      <c r="E23" s="164" t="s">
        <v>163</v>
      </c>
      <c r="F23" s="164" t="s">
        <v>164</v>
      </c>
      <c r="G23" s="164">
        <v>335</v>
      </c>
      <c r="H23" s="168">
        <f t="shared" si="1"/>
        <v>2423.055</v>
      </c>
      <c r="I23" s="169">
        <f t="shared" si="2"/>
        <v>3285.22775</v>
      </c>
    </row>
    <row r="24" spans="1:9" ht="12">
      <c r="A24" s="166" t="s">
        <v>140</v>
      </c>
      <c r="B24" s="164" t="s">
        <v>153</v>
      </c>
      <c r="C24" s="167"/>
      <c r="D24" s="164" t="s">
        <v>165</v>
      </c>
      <c r="E24" s="164" t="s">
        <v>166</v>
      </c>
      <c r="F24" s="164" t="s">
        <v>167</v>
      </c>
      <c r="G24" s="164">
        <v>500</v>
      </c>
      <c r="H24" s="168">
        <f t="shared" si="1"/>
        <v>3616.5</v>
      </c>
      <c r="I24" s="169">
        <f t="shared" si="2"/>
        <v>4903.325</v>
      </c>
    </row>
    <row r="25" spans="1:9" ht="12">
      <c r="A25" s="166" t="s">
        <v>168</v>
      </c>
      <c r="B25" s="164" t="s">
        <v>153</v>
      </c>
      <c r="C25" s="167"/>
      <c r="D25" s="164" t="s">
        <v>169</v>
      </c>
      <c r="E25" s="164" t="s">
        <v>170</v>
      </c>
      <c r="F25" s="164" t="s">
        <v>171</v>
      </c>
      <c r="G25" s="164">
        <v>550</v>
      </c>
      <c r="H25" s="168">
        <f t="shared" si="1"/>
        <v>3978.1499999999996</v>
      </c>
      <c r="I25" s="169">
        <f t="shared" si="2"/>
        <v>5393.657499999999</v>
      </c>
    </row>
    <row r="26" spans="1:9" ht="12">
      <c r="A26" s="166" t="s">
        <v>172</v>
      </c>
      <c r="B26" s="164" t="s">
        <v>153</v>
      </c>
      <c r="C26" s="167"/>
      <c r="D26" s="164" t="s">
        <v>173</v>
      </c>
      <c r="E26" s="164" t="s">
        <v>174</v>
      </c>
      <c r="F26" s="164" t="s">
        <v>175</v>
      </c>
      <c r="G26" s="164">
        <v>600</v>
      </c>
      <c r="H26" s="168">
        <f t="shared" si="1"/>
        <v>4339.8</v>
      </c>
      <c r="I26" s="169">
        <f>SUM(G26*9.80665)</f>
        <v>5883.99</v>
      </c>
    </row>
    <row r="27" spans="1:9" ht="12">
      <c r="A27" s="172">
        <v>30</v>
      </c>
      <c r="B27" s="173" t="s">
        <v>153</v>
      </c>
      <c r="C27" s="174"/>
      <c r="D27" s="173" t="s">
        <v>176</v>
      </c>
      <c r="E27" s="173" t="s">
        <v>177</v>
      </c>
      <c r="F27" s="173" t="s">
        <v>178</v>
      </c>
      <c r="G27" s="173">
        <v>675</v>
      </c>
      <c r="H27" s="175">
        <f t="shared" si="1"/>
        <v>4882.275</v>
      </c>
      <c r="I27" s="176">
        <f t="shared" si="2"/>
        <v>6619.4887499999995</v>
      </c>
    </row>
    <row r="28" ht="6" customHeight="1">
      <c r="H28" s="177"/>
    </row>
    <row r="29" spans="1:9" ht="21" customHeight="1">
      <c r="A29" s="154" t="s">
        <v>179</v>
      </c>
      <c r="B29" s="154"/>
      <c r="C29" s="154"/>
      <c r="D29" s="154"/>
      <c r="E29" s="154"/>
      <c r="F29" s="154"/>
      <c r="G29" s="154"/>
      <c r="H29" s="154"/>
      <c r="I29" s="154"/>
    </row>
    <row r="30" spans="1:9" ht="27.75" customHeight="1">
      <c r="A30" s="178" t="s">
        <v>180</v>
      </c>
      <c r="B30" s="179" t="s">
        <v>181</v>
      </c>
      <c r="C30" s="179" t="s">
        <v>182</v>
      </c>
      <c r="D30" s="157" t="s">
        <v>115</v>
      </c>
      <c r="E30" s="158" t="s">
        <v>116</v>
      </c>
      <c r="F30" s="158"/>
      <c r="G30" s="159" t="s">
        <v>117</v>
      </c>
      <c r="H30" s="159"/>
      <c r="I30" s="159"/>
    </row>
    <row r="31" spans="1:9" ht="12" customHeight="1">
      <c r="A31" s="180"/>
      <c r="B31" s="34"/>
      <c r="C31" s="181"/>
      <c r="D31" s="182"/>
      <c r="E31" s="183" t="s">
        <v>8</v>
      </c>
      <c r="F31" s="184" t="s">
        <v>79</v>
      </c>
      <c r="G31" s="185" t="s">
        <v>118</v>
      </c>
      <c r="H31" s="185" t="s">
        <v>93</v>
      </c>
      <c r="I31" s="186" t="s">
        <v>36</v>
      </c>
    </row>
    <row r="32" spans="1:9" ht="12">
      <c r="A32" s="187" t="s">
        <v>183</v>
      </c>
      <c r="B32" s="164">
        <v>1.8</v>
      </c>
      <c r="C32" s="164" t="s">
        <v>184</v>
      </c>
      <c r="D32" s="164"/>
      <c r="E32" s="164" t="s">
        <v>185</v>
      </c>
      <c r="F32" s="164" t="s">
        <v>186</v>
      </c>
      <c r="G32" s="164">
        <v>373</v>
      </c>
      <c r="H32" s="168">
        <f t="shared" si="1"/>
        <v>2697.9089999999997</v>
      </c>
      <c r="I32" s="169">
        <f>SUM(G32*9.80665)</f>
        <v>3657.8804499999997</v>
      </c>
    </row>
    <row r="33" spans="1:9" ht="12">
      <c r="A33" s="187" t="s">
        <v>187</v>
      </c>
      <c r="B33" s="164">
        <v>1.4</v>
      </c>
      <c r="C33" s="164" t="s">
        <v>188</v>
      </c>
      <c r="D33" s="164"/>
      <c r="E33" s="164" t="s">
        <v>189</v>
      </c>
      <c r="F33" s="164" t="s">
        <v>190</v>
      </c>
      <c r="G33" s="164">
        <v>447</v>
      </c>
      <c r="H33" s="168">
        <f t="shared" si="1"/>
        <v>3233.151</v>
      </c>
      <c r="I33" s="169">
        <f>SUM(G33*9.80665)</f>
        <v>4383.57255</v>
      </c>
    </row>
    <row r="34" spans="1:9" ht="12">
      <c r="A34" s="188" t="s">
        <v>191</v>
      </c>
      <c r="B34" s="173">
        <v>2.4</v>
      </c>
      <c r="C34" s="173" t="s">
        <v>192</v>
      </c>
      <c r="D34" s="173"/>
      <c r="E34" s="173" t="s">
        <v>193</v>
      </c>
      <c r="F34" s="173" t="s">
        <v>194</v>
      </c>
      <c r="G34" s="173">
        <v>500</v>
      </c>
      <c r="H34" s="175">
        <f t="shared" si="1"/>
        <v>3616.5</v>
      </c>
      <c r="I34" s="176">
        <f>SUM(G34*9.80665)</f>
        <v>4903.325</v>
      </c>
    </row>
    <row r="35" ht="6" customHeight="1"/>
    <row r="36" spans="1:9" ht="21" customHeight="1">
      <c r="A36" s="154" t="s">
        <v>195</v>
      </c>
      <c r="B36" s="154"/>
      <c r="C36" s="154"/>
      <c r="D36" s="154"/>
      <c r="E36" s="154"/>
      <c r="F36" s="154"/>
      <c r="G36" s="154"/>
      <c r="H36" s="154"/>
      <c r="I36" s="154"/>
    </row>
    <row r="37" spans="1:9" ht="27.75" customHeight="1">
      <c r="A37" s="178" t="s">
        <v>196</v>
      </c>
      <c r="B37" s="179" t="s">
        <v>181</v>
      </c>
      <c r="C37" s="179" t="s">
        <v>182</v>
      </c>
      <c r="D37" s="157" t="s">
        <v>115</v>
      </c>
      <c r="E37" s="158" t="s">
        <v>116</v>
      </c>
      <c r="F37" s="158"/>
      <c r="G37" s="159" t="s">
        <v>117</v>
      </c>
      <c r="H37" s="159"/>
      <c r="I37" s="159"/>
    </row>
    <row r="38" spans="1:9" ht="12" customHeight="1">
      <c r="A38" s="180"/>
      <c r="B38" s="34"/>
      <c r="C38" s="181"/>
      <c r="D38" s="182"/>
      <c r="E38" s="162" t="s">
        <v>8</v>
      </c>
      <c r="F38" s="163" t="s">
        <v>79</v>
      </c>
      <c r="G38" s="164" t="s">
        <v>118</v>
      </c>
      <c r="H38" s="164" t="s">
        <v>93</v>
      </c>
      <c r="I38" s="165" t="s">
        <v>36</v>
      </c>
    </row>
    <row r="39" spans="1:9" ht="12">
      <c r="A39" s="166" t="s">
        <v>197</v>
      </c>
      <c r="B39" s="164">
        <v>1.4</v>
      </c>
      <c r="C39" s="164" t="s">
        <v>188</v>
      </c>
      <c r="D39" s="164" t="s">
        <v>198</v>
      </c>
      <c r="E39" s="164" t="s">
        <v>199</v>
      </c>
      <c r="F39" s="164" t="s">
        <v>200</v>
      </c>
      <c r="G39" s="168">
        <f>SUM(I39*0.101972)</f>
        <v>250.03534399999998</v>
      </c>
      <c r="H39" s="168">
        <f aca="true" t="shared" si="3" ref="H39:H51">SUM(G39*7.233)</f>
        <v>1808.5056431519997</v>
      </c>
      <c r="I39" s="165">
        <v>2452</v>
      </c>
    </row>
    <row r="40" spans="1:9" ht="12">
      <c r="A40" s="166" t="s">
        <v>201</v>
      </c>
      <c r="B40" s="164">
        <v>1.8</v>
      </c>
      <c r="C40" s="164" t="s">
        <v>184</v>
      </c>
      <c r="D40" s="164" t="s">
        <v>202</v>
      </c>
      <c r="E40" s="164" t="s">
        <v>203</v>
      </c>
      <c r="F40" s="164" t="s">
        <v>204</v>
      </c>
      <c r="G40" s="168">
        <f aca="true" t="shared" si="4" ref="G40:G48">SUM(I40*0.101972)</f>
        <v>300.103596</v>
      </c>
      <c r="H40" s="168">
        <f t="shared" si="3"/>
        <v>2170.649309868</v>
      </c>
      <c r="I40" s="165">
        <v>2943</v>
      </c>
    </row>
    <row r="41" spans="1:9" ht="12">
      <c r="A41" s="166" t="s">
        <v>205</v>
      </c>
      <c r="B41" s="164">
        <v>2.45</v>
      </c>
      <c r="C41" s="164" t="s">
        <v>206</v>
      </c>
      <c r="D41" s="164" t="s">
        <v>207</v>
      </c>
      <c r="E41" s="164" t="s">
        <v>208</v>
      </c>
      <c r="F41" s="164" t="s">
        <v>209</v>
      </c>
      <c r="G41" s="168">
        <f t="shared" si="4"/>
        <v>525.1558</v>
      </c>
      <c r="H41" s="168">
        <f t="shared" si="3"/>
        <v>3798.4519013999998</v>
      </c>
      <c r="I41" s="165">
        <v>5150</v>
      </c>
    </row>
    <row r="42" spans="1:9" ht="12">
      <c r="A42" s="166" t="s">
        <v>210</v>
      </c>
      <c r="B42" s="164">
        <v>3.6</v>
      </c>
      <c r="C42" s="164" t="s">
        <v>211</v>
      </c>
      <c r="D42" s="164" t="s">
        <v>212</v>
      </c>
      <c r="E42" s="164" t="s">
        <v>213</v>
      </c>
      <c r="F42" s="164" t="s">
        <v>214</v>
      </c>
      <c r="G42" s="168">
        <f t="shared" si="4"/>
        <v>1101.2975999999999</v>
      </c>
      <c r="H42" s="168">
        <f t="shared" si="3"/>
        <v>7965.685540799998</v>
      </c>
      <c r="I42" s="165">
        <v>10800</v>
      </c>
    </row>
    <row r="43" spans="1:9" ht="12">
      <c r="A43" s="166" t="s">
        <v>215</v>
      </c>
      <c r="B43" s="164">
        <v>4.3</v>
      </c>
      <c r="C43" s="164" t="s">
        <v>216</v>
      </c>
      <c r="D43" s="164" t="s">
        <v>217</v>
      </c>
      <c r="E43" s="164" t="s">
        <v>218</v>
      </c>
      <c r="F43" s="164" t="s">
        <v>219</v>
      </c>
      <c r="G43" s="168">
        <f t="shared" si="4"/>
        <v>1397.0164</v>
      </c>
      <c r="H43" s="168">
        <f t="shared" si="3"/>
        <v>10104.6196212</v>
      </c>
      <c r="I43" s="165">
        <v>13700</v>
      </c>
    </row>
    <row r="44" spans="1:9" ht="12">
      <c r="A44" s="166" t="s">
        <v>220</v>
      </c>
      <c r="B44" s="164">
        <v>4.5</v>
      </c>
      <c r="C44" s="164" t="s">
        <v>221</v>
      </c>
      <c r="D44" s="164" t="s">
        <v>222</v>
      </c>
      <c r="E44" s="164" t="s">
        <v>223</v>
      </c>
      <c r="F44" s="164" t="s">
        <v>224</v>
      </c>
      <c r="G44" s="168">
        <f t="shared" si="4"/>
        <v>2447.328</v>
      </c>
      <c r="H44" s="168">
        <f t="shared" si="3"/>
        <v>17701.523424</v>
      </c>
      <c r="I44" s="165">
        <v>24000</v>
      </c>
    </row>
    <row r="45" spans="1:9" ht="12">
      <c r="A45" s="166" t="s">
        <v>225</v>
      </c>
      <c r="B45" s="164">
        <v>22.75</v>
      </c>
      <c r="C45" s="164" t="s">
        <v>226</v>
      </c>
      <c r="D45" s="164" t="s">
        <v>227</v>
      </c>
      <c r="E45" s="164" t="s">
        <v>228</v>
      </c>
      <c r="F45" s="164" t="s">
        <v>229</v>
      </c>
      <c r="G45" s="168">
        <f t="shared" si="4"/>
        <v>5404.516</v>
      </c>
      <c r="H45" s="168">
        <f t="shared" si="3"/>
        <v>39090.864228</v>
      </c>
      <c r="I45" s="165">
        <v>53000</v>
      </c>
    </row>
    <row r="46" spans="1:9" ht="5.25" customHeight="1">
      <c r="A46" s="189"/>
      <c r="B46" s="161"/>
      <c r="C46" s="34"/>
      <c r="D46" s="161"/>
      <c r="E46" s="161"/>
      <c r="F46" s="161"/>
      <c r="G46" s="170"/>
      <c r="H46" s="170"/>
      <c r="I46" s="171"/>
    </row>
    <row r="47" spans="1:9" ht="12">
      <c r="A47" s="166" t="s">
        <v>230</v>
      </c>
      <c r="B47" s="164">
        <v>1.8</v>
      </c>
      <c r="C47" s="190" t="s">
        <v>184</v>
      </c>
      <c r="D47" s="164" t="s">
        <v>231</v>
      </c>
      <c r="E47" s="164" t="s">
        <v>185</v>
      </c>
      <c r="F47" s="164" t="s">
        <v>200</v>
      </c>
      <c r="G47" s="168">
        <f t="shared" si="4"/>
        <v>300.103596</v>
      </c>
      <c r="H47" s="168">
        <f t="shared" si="3"/>
        <v>2170.649309868</v>
      </c>
      <c r="I47" s="165">
        <v>2943</v>
      </c>
    </row>
    <row r="48" spans="1:9" ht="12">
      <c r="A48" s="166" t="s">
        <v>232</v>
      </c>
      <c r="B48" s="164">
        <v>2.4</v>
      </c>
      <c r="C48" s="164" t="s">
        <v>192</v>
      </c>
      <c r="D48" s="164" t="s">
        <v>233</v>
      </c>
      <c r="E48" s="164" t="s">
        <v>138</v>
      </c>
      <c r="F48" s="164" t="s">
        <v>234</v>
      </c>
      <c r="G48" s="168">
        <f t="shared" si="4"/>
        <v>500.17265999999995</v>
      </c>
      <c r="H48" s="168">
        <f t="shared" si="3"/>
        <v>3617.7488497799995</v>
      </c>
      <c r="I48" s="165">
        <v>4905</v>
      </c>
    </row>
    <row r="49" spans="1:9" ht="5.25" customHeight="1">
      <c r="A49" s="189"/>
      <c r="B49" s="161"/>
      <c r="C49" s="34"/>
      <c r="D49" s="161"/>
      <c r="E49" s="161"/>
      <c r="F49" s="161"/>
      <c r="G49" s="34"/>
      <c r="H49" s="34"/>
      <c r="I49" s="171"/>
    </row>
    <row r="50" spans="1:9" ht="12">
      <c r="A50" s="166" t="s">
        <v>235</v>
      </c>
      <c r="B50" s="164">
        <v>4.55</v>
      </c>
      <c r="C50" s="164" t="s">
        <v>221</v>
      </c>
      <c r="D50" s="164" t="s">
        <v>236</v>
      </c>
      <c r="E50" s="164" t="s">
        <v>185</v>
      </c>
      <c r="F50" s="164" t="s">
        <v>200</v>
      </c>
      <c r="G50" s="168">
        <f>SUM(I50*0.101972)</f>
        <v>275.120456</v>
      </c>
      <c r="H50" s="168">
        <f t="shared" si="3"/>
        <v>1989.9462582479998</v>
      </c>
      <c r="I50" s="165">
        <v>2698</v>
      </c>
    </row>
    <row r="51" spans="1:9" ht="12">
      <c r="A51" s="166" t="s">
        <v>237</v>
      </c>
      <c r="B51" s="164">
        <v>8.75</v>
      </c>
      <c r="C51" s="164" t="s">
        <v>238</v>
      </c>
      <c r="D51" s="164" t="s">
        <v>239</v>
      </c>
      <c r="E51" s="164" t="s">
        <v>240</v>
      </c>
      <c r="F51" s="164" t="s">
        <v>241</v>
      </c>
      <c r="G51" s="168">
        <f>SUM(I51*0.101972)</f>
        <v>750.208004</v>
      </c>
      <c r="H51" s="168">
        <f t="shared" si="3"/>
        <v>5426.254492931999</v>
      </c>
      <c r="I51" s="165">
        <v>7357</v>
      </c>
    </row>
    <row r="52" spans="1:9" ht="5.25" customHeight="1">
      <c r="A52" s="189"/>
      <c r="B52" s="34"/>
      <c r="C52" s="34"/>
      <c r="D52" s="161"/>
      <c r="E52" s="161"/>
      <c r="F52" s="161"/>
      <c r="G52" s="34"/>
      <c r="H52" s="34"/>
      <c r="I52" s="171"/>
    </row>
    <row r="53" spans="1:9" ht="12">
      <c r="A53" s="166" t="s">
        <v>242</v>
      </c>
      <c r="B53" s="167"/>
      <c r="C53" s="191" t="s">
        <v>243</v>
      </c>
      <c r="D53" s="164" t="s">
        <v>244</v>
      </c>
      <c r="E53" s="164" t="s">
        <v>245</v>
      </c>
      <c r="F53" s="164" t="s">
        <v>246</v>
      </c>
      <c r="G53" s="164">
        <v>46</v>
      </c>
      <c r="H53" s="168">
        <f>SUM(G53*7.233)</f>
        <v>332.71799999999996</v>
      </c>
      <c r="I53" s="169">
        <f>SUM(G53*9.80665)</f>
        <v>451.10589999999996</v>
      </c>
    </row>
    <row r="54" spans="1:9" ht="12">
      <c r="A54" s="166" t="s">
        <v>247</v>
      </c>
      <c r="B54" s="167"/>
      <c r="C54" s="191" t="s">
        <v>243</v>
      </c>
      <c r="D54" s="164" t="s">
        <v>248</v>
      </c>
      <c r="E54" s="164" t="s">
        <v>249</v>
      </c>
      <c r="F54" s="164" t="s">
        <v>250</v>
      </c>
      <c r="G54" s="164">
        <v>68</v>
      </c>
      <c r="H54" s="168">
        <f>SUM(G54*7.233)</f>
        <v>491.844</v>
      </c>
      <c r="I54" s="169">
        <f>SUM(G54*9.80665)</f>
        <v>666.8521999999999</v>
      </c>
    </row>
    <row r="55" spans="1:9" ht="12">
      <c r="A55" s="172" t="s">
        <v>251</v>
      </c>
      <c r="B55" s="174"/>
      <c r="C55" s="192" t="s">
        <v>243</v>
      </c>
      <c r="D55" s="173" t="s">
        <v>252</v>
      </c>
      <c r="E55" s="173" t="s">
        <v>253</v>
      </c>
      <c r="F55" s="173" t="s">
        <v>254</v>
      </c>
      <c r="G55" s="173">
        <v>92</v>
      </c>
      <c r="H55" s="175">
        <f>SUM(G55*7.233)</f>
        <v>665.4359999999999</v>
      </c>
      <c r="I55" s="176">
        <f>SUM(G55*9.80665)</f>
        <v>902.2117999999999</v>
      </c>
    </row>
  </sheetData>
  <mergeCells count="13">
    <mergeCell ref="A1:I1"/>
    <mergeCell ref="A2:I2"/>
    <mergeCell ref="A3:I3"/>
    <mergeCell ref="A5:I5"/>
    <mergeCell ref="A6:B6"/>
    <mergeCell ref="E6:F6"/>
    <mergeCell ref="G6:I6"/>
    <mergeCell ref="A29:I29"/>
    <mergeCell ref="E30:F30"/>
    <mergeCell ref="G30:I30"/>
    <mergeCell ref="A36:I36"/>
    <mergeCell ref="E37:F37"/>
    <mergeCell ref="G37:I37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Steuerungsanalyse</dc:title>
  <dc:subject>Ruderlasten Systemkonfigurationction</dc:subject>
  <dc:creator>Dave Worthington</dc:creator>
  <cp:keywords/>
  <dc:description>VERSION 3.1 GERMAN
RELEASE DATE: 23.10.2002</dc:description>
  <cp:lastModifiedBy>Sören Matthiessen</cp:lastModifiedBy>
  <cp:lastPrinted>2002-10-25T07:13:37Z</cp:lastPrinted>
  <dcterms:created xsi:type="dcterms:W3CDTF">1999-01-08T22:47:27Z</dcterms:created>
  <dcterms:modified xsi:type="dcterms:W3CDTF">2006-02-10T18:16:15Z</dcterms:modified>
  <cp:category/>
  <cp:version/>
  <cp:contentType/>
  <cp:contentStatus/>
  <cp:revision>1</cp:revision>
</cp:coreProperties>
</file>